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raig\Dropbox (Aqueous Solutions)\GBRM3\Typescript\GBRM3 scripts\"/>
    </mc:Choice>
  </mc:AlternateContent>
  <xr:revisionPtr revIDLastSave="0" documentId="13_ncr:1_{770B8892-37FE-45B7-BD8A-D5D2EF05E704}" xr6:coauthVersionLast="47" xr6:coauthVersionMax="47" xr10:uidLastSave="{00000000-0000-0000-0000-000000000000}"/>
  <bookViews>
    <workbookView xWindow="-31550" yWindow="-1170" windowWidth="23740" windowHeight="16900" xr2:uid="{D2735AFC-0935-4A73-B18A-89B9792546D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1" i="1" l="1"/>
  <c r="B71" i="1"/>
  <c r="G71" i="1" s="1"/>
  <c r="D35" i="1"/>
  <c r="D36" i="1"/>
  <c r="D37" i="1"/>
  <c r="D34" i="1"/>
  <c r="B35" i="1"/>
  <c r="B36" i="1"/>
  <c r="B37" i="1"/>
  <c r="B34" i="1"/>
  <c r="E96" i="1"/>
  <c r="D96" i="1"/>
  <c r="C96" i="1"/>
  <c r="B96" i="1"/>
  <c r="B114" i="1"/>
  <c r="C78" i="1"/>
  <c r="B95" i="1" s="1"/>
  <c r="D73" i="1"/>
  <c r="I73" i="1" s="1"/>
  <c r="D72" i="1"/>
  <c r="D71" i="1"/>
  <c r="I71" i="1" s="1"/>
  <c r="C72" i="1"/>
  <c r="H72" i="1" s="1"/>
  <c r="I79" i="1"/>
  <c r="B87" i="1" s="1"/>
  <c r="H78" i="1"/>
  <c r="B86" i="1" s="1"/>
  <c r="D79" i="1"/>
  <c r="E95" i="1" s="1"/>
  <c r="E97" i="1" l="1"/>
  <c r="B97" i="1"/>
  <c r="C97" i="1"/>
  <c r="D97" i="1"/>
  <c r="C95" i="1"/>
  <c r="D95" i="1"/>
  <c r="B38" i="1"/>
  <c r="B39" i="1" s="1"/>
  <c r="D38" i="1"/>
  <c r="B84" i="1" l="1"/>
  <c r="B104" i="1"/>
  <c r="N79" i="1"/>
  <c r="B107" i="1" s="1"/>
  <c r="D59" i="1"/>
  <c r="N59" i="1" s="1"/>
  <c r="B57" i="1"/>
  <c r="D57" i="1"/>
  <c r="B51" i="1"/>
  <c r="G51" i="1" s="1"/>
  <c r="B64" i="1" s="1"/>
  <c r="M78" i="1"/>
  <c r="B106" i="1" s="1"/>
  <c r="D53" i="1"/>
  <c r="N53" i="1" s="1"/>
  <c r="C52" i="1"/>
  <c r="H52" i="1" s="1"/>
  <c r="C65" i="1" s="1"/>
  <c r="D51" i="1"/>
  <c r="C58" i="1"/>
  <c r="I51" i="1" l="1"/>
  <c r="D64" i="1" s="1"/>
  <c r="B94" i="1" s="1"/>
  <c r="I66" i="1"/>
  <c r="I59" i="1"/>
  <c r="D94" i="1"/>
  <c r="N51" i="1"/>
  <c r="I64" i="1" s="1"/>
  <c r="L51" i="1"/>
  <c r="M52" i="1"/>
  <c r="H65" i="1" s="1"/>
  <c r="M65" i="1" s="1"/>
  <c r="I53" i="1"/>
  <c r="G64" i="1" l="1"/>
  <c r="L64" i="1" s="1"/>
  <c r="N64" i="1"/>
  <c r="D66" i="1"/>
  <c r="E94" i="1" s="1"/>
  <c r="C94" i="1" l="1"/>
  <c r="B85" i="1"/>
  <c r="B88" i="1" s="1"/>
  <c r="D93" i="1" s="1"/>
  <c r="D99" i="1" s="1"/>
  <c r="D100" i="1" s="1"/>
  <c r="N66" i="1"/>
  <c r="B93" i="1" l="1"/>
  <c r="B99" i="1" s="1"/>
  <c r="B100" i="1" s="1"/>
  <c r="E93" i="1"/>
  <c r="E99" i="1" s="1"/>
  <c r="E100" i="1" s="1"/>
  <c r="C93" i="1"/>
  <c r="C99" i="1" s="1"/>
  <c r="C100" i="1" s="1"/>
  <c r="B105" i="1"/>
  <c r="B110" i="1" s="1"/>
  <c r="D110" i="1" s="1"/>
  <c r="B115" i="1" s="1"/>
  <c r="B116" i="1" s="1"/>
  <c r="B117" i="1" s="1"/>
</calcChain>
</file>

<file path=xl/sharedStrings.xml><?xml version="1.0" encoding="utf-8"?>
<sst xmlns="http://schemas.openxmlformats.org/spreadsheetml/2006/main" count="252" uniqueCount="71">
  <si>
    <t>Na+</t>
  </si>
  <si>
    <t>Cl-</t>
  </si>
  <si>
    <t>Ca++</t>
  </si>
  <si>
    <t>SO4--</t>
  </si>
  <si>
    <t>I (molal)</t>
  </si>
  <si>
    <t>SQRT I</t>
  </si>
  <si>
    <t>g(x)</t>
  </si>
  <si>
    <t>g'(x)</t>
  </si>
  <si>
    <t>STEP 1</t>
  </si>
  <si>
    <t>STEP 3</t>
  </si>
  <si>
    <t>GIVEN DATA</t>
  </si>
  <si>
    <t>beta(0)MX</t>
  </si>
  <si>
    <t>alpha(1)MX</t>
  </si>
  <si>
    <t>alpha(2)MX</t>
  </si>
  <si>
    <t>alpha(1)MX x SQRT I</t>
  </si>
  <si>
    <t>alpha(2)MX x SQRT I</t>
  </si>
  <si>
    <t>beta(1)MX</t>
  </si>
  <si>
    <t>beta(2)MX</t>
  </si>
  <si>
    <t>C-phiMX</t>
  </si>
  <si>
    <t>STEP 4</t>
  </si>
  <si>
    <t>BMX</t>
  </si>
  <si>
    <t>B'MX</t>
  </si>
  <si>
    <t>BphiMX</t>
  </si>
  <si>
    <t>STEP 5</t>
  </si>
  <si>
    <t>CMX</t>
  </si>
  <si>
    <t>ZMX</t>
  </si>
  <si>
    <t>thetaij</t>
  </si>
  <si>
    <t>STEP 2</t>
  </si>
  <si>
    <t>E-thetaij</t>
  </si>
  <si>
    <t>E-theta'ij</t>
  </si>
  <si>
    <t>STEP 6</t>
  </si>
  <si>
    <t>PHIij</t>
  </si>
  <si>
    <t>PHI'ij</t>
  </si>
  <si>
    <t>PHIphiij</t>
  </si>
  <si>
    <t>SOLUTION COMPOSITION</t>
  </si>
  <si>
    <t>m</t>
  </si>
  <si>
    <t>z</t>
  </si>
  <si>
    <t>psi-aa'Na+</t>
  </si>
  <si>
    <t>psi-aa'Ca++</t>
  </si>
  <si>
    <t>psi-cc'Cl-</t>
  </si>
  <si>
    <t>psi-cc'SO4--</t>
  </si>
  <si>
    <t>m z^2</t>
  </si>
  <si>
    <t>Z</t>
  </si>
  <si>
    <t>m abs(z)</t>
  </si>
  <si>
    <t>STEP 7</t>
  </si>
  <si>
    <t>A-phi</t>
  </si>
  <si>
    <t>term 1</t>
  </si>
  <si>
    <t>sum 1</t>
  </si>
  <si>
    <t>sum 2</t>
  </si>
  <si>
    <t>sum 3</t>
  </si>
  <si>
    <t>F</t>
  </si>
  <si>
    <t>STEP 8</t>
  </si>
  <si>
    <t>z^2 F</t>
  </si>
  <si>
    <t>sum 4</t>
  </si>
  <si>
    <t>sum 5</t>
  </si>
  <si>
    <t>ln gamma</t>
  </si>
  <si>
    <t>gamma</t>
  </si>
  <si>
    <t>STEP 9</t>
  </si>
  <si>
    <t>STEP 10</t>
  </si>
  <si>
    <t>sum mi</t>
  </si>
  <si>
    <t>ln aw</t>
  </si>
  <si>
    <t>aw</t>
  </si>
  <si>
    <t>sum x phi</t>
  </si>
  <si>
    <t>x2</t>
  </si>
  <si>
    <t>(@ 25 C)</t>
  </si>
  <si>
    <t>Ionic strength</t>
  </si>
  <si>
    <t>Ion activity coefficients</t>
  </si>
  <si>
    <t>F coefficient</t>
  </si>
  <si>
    <t>Water activity</t>
  </si>
  <si>
    <t>Sum mi(phi-1)</t>
  </si>
  <si>
    <t>HMW activity coefficients for an NaCl-CaSO4 solution of arbitrary composition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</si>
</sst>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\+0;\-0;0"/>
    <numFmt numFmtId="165" formatCode="0.0000000"/>
    <numFmt numFmtId="166" formatCode="0.000000"/>
    <numFmt numFmtId="167" formatCode="0.00000"/>
    <numFmt numFmtId="168" formatCode="0.0000"/>
    <numFmt numFmtId="169" formatCode="0.000"/>
  </numFmts>
  <fonts count="9" x14ac:knownFonts="1"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9" tint="-0.499984740745262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u/>
      <sz val="12"/>
      <color theme="9" tint="-0.249977111117893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0" xfId="0" applyFill="1"/>
    <xf numFmtId="0" fontId="2" fillId="0" borderId="0" xfId="0" applyFont="1"/>
    <xf numFmtId="0" fontId="0" fillId="2" borderId="6" xfId="0" applyFill="1" applyBorder="1"/>
    <xf numFmtId="164" fontId="0" fillId="2" borderId="3" xfId="0" applyNumberFormat="1" applyFill="1" applyBorder="1"/>
    <xf numFmtId="164" fontId="0" fillId="2" borderId="5" xfId="0" applyNumberFormat="1" applyFill="1" applyBorder="1"/>
    <xf numFmtId="164" fontId="0" fillId="2" borderId="8" xfId="0" applyNumberFormat="1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0" fillId="0" borderId="0" xfId="0" applyFill="1"/>
    <xf numFmtId="0" fontId="0" fillId="2" borderId="9" xfId="0" applyNumberFormat="1" applyFill="1" applyBorder="1"/>
    <xf numFmtId="0" fontId="0" fillId="2" borderId="0" xfId="0" applyNumberFormat="1" applyFill="1"/>
    <xf numFmtId="0" fontId="0" fillId="2" borderId="10" xfId="0" applyNumberFormat="1" applyFill="1" applyBorder="1"/>
    <xf numFmtId="0" fontId="0" fillId="2" borderId="11" xfId="0" applyNumberFormat="1" applyFill="1" applyBorder="1"/>
    <xf numFmtId="0" fontId="0" fillId="0" borderId="0" xfId="0" applyAlignment="1">
      <alignment horizontal="right"/>
    </xf>
    <xf numFmtId="165" fontId="0" fillId="2" borderId="1" xfId="0" applyNumberFormat="1" applyFill="1" applyBorder="1"/>
    <xf numFmtId="165" fontId="0" fillId="2" borderId="0" xfId="0" applyNumberFormat="1" applyFill="1" applyBorder="1"/>
    <xf numFmtId="166" fontId="0" fillId="2" borderId="1" xfId="0" applyNumberFormat="1" applyFill="1" applyBorder="1"/>
    <xf numFmtId="166" fontId="0" fillId="2" borderId="3" xfId="0" applyNumberFormat="1" applyFill="1" applyBorder="1"/>
    <xf numFmtId="166" fontId="0" fillId="2" borderId="5" xfId="0" applyNumberFormat="1" applyFill="1" applyBorder="1"/>
    <xf numFmtId="166" fontId="0" fillId="2" borderId="8" xfId="0" applyNumberFormat="1" applyFill="1" applyBorder="1"/>
    <xf numFmtId="167" fontId="0" fillId="2" borderId="1" xfId="0" applyNumberFormat="1" applyFill="1" applyBorder="1"/>
    <xf numFmtId="167" fontId="0" fillId="2" borderId="2" xfId="0" applyNumberFormat="1" applyFill="1" applyBorder="1"/>
    <xf numFmtId="167" fontId="0" fillId="2" borderId="3" xfId="0" applyNumberFormat="1" applyFill="1" applyBorder="1"/>
    <xf numFmtId="167" fontId="0" fillId="0" borderId="4" xfId="0" applyNumberFormat="1" applyBorder="1"/>
    <xf numFmtId="167" fontId="0" fillId="2" borderId="0" xfId="0" applyNumberFormat="1" applyFill="1" applyBorder="1"/>
    <xf numFmtId="167" fontId="0" fillId="2" borderId="5" xfId="0" applyNumberFormat="1" applyFill="1" applyBorder="1"/>
    <xf numFmtId="167" fontId="0" fillId="0" borderId="6" xfId="0" applyNumberFormat="1" applyBorder="1"/>
    <xf numFmtId="167" fontId="0" fillId="0" borderId="7" xfId="0" applyNumberFormat="1" applyBorder="1"/>
    <xf numFmtId="168" fontId="0" fillId="2" borderId="0" xfId="0" applyNumberFormat="1" applyFill="1" applyBorder="1"/>
    <xf numFmtId="168" fontId="0" fillId="2" borderId="3" xfId="0" applyNumberFormat="1" applyFill="1" applyBorder="1"/>
    <xf numFmtId="168" fontId="0" fillId="2" borderId="8" xfId="0" applyNumberFormat="1" applyFill="1" applyBorder="1"/>
    <xf numFmtId="168" fontId="0" fillId="2" borderId="1" xfId="0" applyNumberFormat="1" applyFill="1" applyBorder="1"/>
    <xf numFmtId="168" fontId="0" fillId="2" borderId="2" xfId="0" applyNumberFormat="1" applyFill="1" applyBorder="1"/>
    <xf numFmtId="168" fontId="0" fillId="2" borderId="5" xfId="0" applyNumberFormat="1" applyFill="1" applyBorder="1"/>
    <xf numFmtId="169" fontId="0" fillId="2" borderId="1" xfId="0" applyNumberFormat="1" applyFill="1" applyBorder="1"/>
    <xf numFmtId="169" fontId="0" fillId="2" borderId="2" xfId="0" applyNumberFormat="1" applyFill="1" applyBorder="1"/>
    <xf numFmtId="169" fontId="0" fillId="2" borderId="3" xfId="0" applyNumberFormat="1" applyFill="1" applyBorder="1"/>
    <xf numFmtId="169" fontId="0" fillId="0" borderId="4" xfId="0" applyNumberFormat="1" applyBorder="1"/>
    <xf numFmtId="169" fontId="0" fillId="2" borderId="0" xfId="0" applyNumberFormat="1" applyFill="1" applyBorder="1"/>
    <xf numFmtId="169" fontId="0" fillId="2" borderId="5" xfId="0" applyNumberFormat="1" applyFill="1" applyBorder="1"/>
    <xf numFmtId="169" fontId="0" fillId="0" borderId="6" xfId="0" applyNumberFormat="1" applyBorder="1"/>
    <xf numFmtId="169" fontId="0" fillId="0" borderId="7" xfId="0" applyNumberFormat="1" applyBorder="1"/>
    <xf numFmtId="169" fontId="0" fillId="2" borderId="8" xfId="0" applyNumberFormat="1" applyFill="1" applyBorder="1"/>
    <xf numFmtId="2" fontId="0" fillId="2" borderId="8" xfId="0" applyNumberFormat="1" applyFill="1" applyBorder="1"/>
    <xf numFmtId="168" fontId="0" fillId="2" borderId="9" xfId="0" applyNumberFormat="1" applyFill="1" applyBorder="1"/>
    <xf numFmtId="168" fontId="0" fillId="2" borderId="10" xfId="0" applyNumberFormat="1" applyFill="1" applyBorder="1"/>
    <xf numFmtId="168" fontId="0" fillId="2" borderId="11" xfId="0" applyNumberFormat="1" applyFill="1" applyBorder="1" applyAlignment="1">
      <alignment horizontal="right"/>
    </xf>
    <xf numFmtId="168" fontId="0" fillId="2" borderId="0" xfId="0" applyNumberFormat="1" applyFill="1"/>
    <xf numFmtId="0" fontId="0" fillId="2" borderId="7" xfId="0" applyFill="1" applyBorder="1"/>
    <xf numFmtId="168" fontId="0" fillId="2" borderId="4" xfId="0" applyNumberFormat="1" applyFill="1" applyBorder="1"/>
    <xf numFmtId="0" fontId="0" fillId="0" borderId="0" xfId="0" applyFill="1" applyAlignment="1">
      <alignment horizontal="right"/>
    </xf>
    <xf numFmtId="169" fontId="0" fillId="2" borderId="0" xfId="0" applyNumberFormat="1" applyFill="1"/>
    <xf numFmtId="0" fontId="3" fillId="0" borderId="0" xfId="0" applyFont="1"/>
    <xf numFmtId="168" fontId="0" fillId="2" borderId="4" xfId="0" applyNumberFormat="1" applyFill="1" applyBorder="1" applyAlignment="1">
      <alignment horizontal="right"/>
    </xf>
    <xf numFmtId="0" fontId="5" fillId="0" borderId="0" xfId="0" applyFont="1"/>
    <xf numFmtId="0" fontId="0" fillId="3" borderId="1" xfId="0" applyFill="1" applyBorder="1"/>
    <xf numFmtId="0" fontId="0" fillId="3" borderId="4" xfId="0" applyFill="1" applyBorder="1"/>
    <xf numFmtId="0" fontId="0" fillId="3" borderId="6" xfId="0" applyFill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Fill="1"/>
    <xf numFmtId="168" fontId="0" fillId="3" borderId="0" xfId="0" applyNumberFormat="1" applyFill="1"/>
    <xf numFmtId="168" fontId="0" fillId="3" borderId="11" xfId="0" applyNumberFormat="1" applyFill="1" applyBorder="1"/>
    <xf numFmtId="0" fontId="4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71BD6-28B7-47CF-B80A-37502852F610}">
  <dimension ref="A1:S117"/>
  <sheetViews>
    <sheetView tabSelected="1" zoomScaleNormal="100" workbookViewId="0">
      <selection activeCell="N40" sqref="N40"/>
    </sheetView>
  </sheetViews>
  <sheetFormatPr defaultRowHeight="14.5" x14ac:dyDescent="0.35"/>
  <cols>
    <col min="1" max="1" width="9.81640625" customWidth="1"/>
    <col min="2" max="2" width="10" customWidth="1"/>
    <col min="3" max="3" width="10" bestFit="1" customWidth="1"/>
    <col min="4" max="4" width="9.1796875" customWidth="1"/>
    <col min="5" max="5" width="9.6328125" customWidth="1"/>
    <col min="7" max="7" width="10.08984375" customWidth="1"/>
    <col min="8" max="8" width="10" bestFit="1" customWidth="1"/>
    <col min="9" max="9" width="9.54296875" customWidth="1"/>
    <col min="10" max="10" width="11.1796875" customWidth="1"/>
    <col min="14" max="14" width="9" bestFit="1" customWidth="1"/>
    <col min="15" max="15" width="8.81640625" customWidth="1"/>
  </cols>
  <sheetData>
    <row r="1" spans="1:14" ht="18.5" x14ac:dyDescent="0.45">
      <c r="A1" s="67" t="s">
        <v>70</v>
      </c>
    </row>
    <row r="2" spans="1:14" x14ac:dyDescent="0.35">
      <c r="A2" s="13"/>
    </row>
    <row r="3" spans="1:14" ht="15.5" x14ac:dyDescent="0.35">
      <c r="A3" s="79" t="s">
        <v>34</v>
      </c>
    </row>
    <row r="4" spans="1:14" x14ac:dyDescent="0.35">
      <c r="B4" s="72" t="s">
        <v>35</v>
      </c>
      <c r="C4" s="72" t="s">
        <v>36</v>
      </c>
    </row>
    <row r="5" spans="1:14" x14ac:dyDescent="0.35">
      <c r="A5" s="26" t="s">
        <v>0</v>
      </c>
      <c r="B5" s="68">
        <v>6</v>
      </c>
      <c r="C5" s="15">
        <v>1</v>
      </c>
    </row>
    <row r="6" spans="1:14" x14ac:dyDescent="0.35">
      <c r="A6" s="26" t="s">
        <v>1</v>
      </c>
      <c r="B6" s="69">
        <v>6</v>
      </c>
      <c r="C6" s="16">
        <v>-1</v>
      </c>
    </row>
    <row r="7" spans="1:14" x14ac:dyDescent="0.35">
      <c r="A7" s="26" t="s">
        <v>2</v>
      </c>
      <c r="B7" s="69">
        <v>0.01</v>
      </c>
      <c r="C7" s="16">
        <v>2</v>
      </c>
    </row>
    <row r="8" spans="1:14" x14ac:dyDescent="0.35">
      <c r="A8" s="26" t="s">
        <v>3</v>
      </c>
      <c r="B8" s="70">
        <v>0.01</v>
      </c>
      <c r="C8" s="17">
        <v>-2</v>
      </c>
    </row>
    <row r="10" spans="1:14" ht="15.5" x14ac:dyDescent="0.35">
      <c r="A10" s="79" t="s">
        <v>10</v>
      </c>
    </row>
    <row r="11" spans="1:14" x14ac:dyDescent="0.35">
      <c r="A11" s="26" t="s">
        <v>45</v>
      </c>
      <c r="B11" s="12">
        <v>0.39200000000000002</v>
      </c>
      <c r="C11" s="71" t="s">
        <v>64</v>
      </c>
    </row>
    <row r="12" spans="1:14" x14ac:dyDescent="0.35">
      <c r="A12" s="5"/>
    </row>
    <row r="13" spans="1:14" x14ac:dyDescent="0.35">
      <c r="A13" s="74" t="s">
        <v>11</v>
      </c>
      <c r="F13" s="74" t="s">
        <v>16</v>
      </c>
      <c r="K13" s="74" t="s">
        <v>17</v>
      </c>
    </row>
    <row r="14" spans="1:14" x14ac:dyDescent="0.35">
      <c r="B14" s="71" t="s">
        <v>1</v>
      </c>
      <c r="C14" s="71" t="s">
        <v>2</v>
      </c>
      <c r="D14" s="71" t="s">
        <v>3</v>
      </c>
      <c r="E14" s="71"/>
      <c r="F14" s="71"/>
      <c r="G14" s="71" t="s">
        <v>1</v>
      </c>
      <c r="H14" s="71" t="s">
        <v>2</v>
      </c>
      <c r="I14" s="71" t="s">
        <v>3</v>
      </c>
      <c r="J14" s="71"/>
      <c r="K14" s="71"/>
      <c r="L14" s="71" t="s">
        <v>1</v>
      </c>
      <c r="M14" s="71" t="s">
        <v>2</v>
      </c>
      <c r="N14" s="71" t="s">
        <v>3</v>
      </c>
    </row>
    <row r="15" spans="1:14" x14ac:dyDescent="0.35">
      <c r="A15" s="26" t="s">
        <v>0</v>
      </c>
      <c r="B15" s="6">
        <v>7.6499999999999999E-2</v>
      </c>
      <c r="C15" s="7"/>
      <c r="D15" s="8">
        <v>1.958E-2</v>
      </c>
      <c r="F15" s="26" t="s">
        <v>0</v>
      </c>
      <c r="G15" s="6">
        <v>0.26640000000000003</v>
      </c>
      <c r="H15" s="7"/>
      <c r="I15" s="8">
        <v>1.113</v>
      </c>
      <c r="K15" s="26" t="s">
        <v>0</v>
      </c>
      <c r="L15" s="6">
        <v>0</v>
      </c>
      <c r="M15" s="7"/>
      <c r="N15" s="8">
        <v>0</v>
      </c>
    </row>
    <row r="16" spans="1:14" x14ac:dyDescent="0.35">
      <c r="A16" s="26" t="s">
        <v>1</v>
      </c>
      <c r="B16" s="1"/>
      <c r="C16" s="9">
        <v>0.31590000000000001</v>
      </c>
      <c r="D16" s="10"/>
      <c r="F16" s="26" t="s">
        <v>1</v>
      </c>
      <c r="G16" s="1"/>
      <c r="H16" s="9">
        <v>1.6140000000000001</v>
      </c>
      <c r="I16" s="10"/>
      <c r="K16" s="26" t="s">
        <v>1</v>
      </c>
      <c r="L16" s="1"/>
      <c r="M16" s="9">
        <v>0</v>
      </c>
      <c r="N16" s="10"/>
    </row>
    <row r="17" spans="1:19" x14ac:dyDescent="0.35">
      <c r="A17" s="26" t="s">
        <v>2</v>
      </c>
      <c r="B17" s="3"/>
      <c r="C17" s="4"/>
      <c r="D17" s="43">
        <v>0.2</v>
      </c>
      <c r="F17" s="26" t="s">
        <v>2</v>
      </c>
      <c r="G17" s="3"/>
      <c r="H17" s="4"/>
      <c r="I17" s="55">
        <v>3.1972999999999998</v>
      </c>
      <c r="K17" s="26" t="s">
        <v>2</v>
      </c>
      <c r="L17" s="3"/>
      <c r="M17" s="4"/>
      <c r="N17" s="11">
        <v>-54.24</v>
      </c>
    </row>
    <row r="18" spans="1:19" x14ac:dyDescent="0.35">
      <c r="B18" s="2"/>
      <c r="C18" s="2"/>
      <c r="D18" s="2"/>
      <c r="G18" s="2"/>
      <c r="H18" s="2"/>
      <c r="I18" s="2"/>
      <c r="L18" s="2"/>
      <c r="M18" s="2"/>
      <c r="N18" s="2"/>
    </row>
    <row r="19" spans="1:19" x14ac:dyDescent="0.35">
      <c r="A19" s="74" t="s">
        <v>18</v>
      </c>
      <c r="F19" s="74" t="s">
        <v>12</v>
      </c>
      <c r="K19" s="74" t="s">
        <v>13</v>
      </c>
      <c r="P19" s="74" t="s">
        <v>26</v>
      </c>
      <c r="Q19" s="2"/>
      <c r="R19" s="2"/>
      <c r="S19" s="2"/>
    </row>
    <row r="20" spans="1:19" x14ac:dyDescent="0.35">
      <c r="B20" s="71" t="s">
        <v>1</v>
      </c>
      <c r="C20" s="71" t="s">
        <v>2</v>
      </c>
      <c r="D20" s="71" t="s">
        <v>3</v>
      </c>
      <c r="E20" s="71"/>
      <c r="F20" s="71"/>
      <c r="G20" s="71" t="s">
        <v>1</v>
      </c>
      <c r="H20" s="71" t="s">
        <v>2</v>
      </c>
      <c r="I20" s="71" t="s">
        <v>3</v>
      </c>
      <c r="J20" s="71"/>
      <c r="K20" s="71"/>
      <c r="L20" s="71" t="s">
        <v>1</v>
      </c>
      <c r="M20" s="71" t="s">
        <v>2</v>
      </c>
      <c r="N20" s="71" t="s">
        <v>3</v>
      </c>
      <c r="O20" s="71"/>
      <c r="P20" s="71"/>
      <c r="Q20" s="71" t="s">
        <v>1</v>
      </c>
      <c r="R20" s="71" t="s">
        <v>2</v>
      </c>
      <c r="S20" s="71" t="s">
        <v>3</v>
      </c>
    </row>
    <row r="21" spans="1:19" x14ac:dyDescent="0.35">
      <c r="A21" s="26" t="s">
        <v>0</v>
      </c>
      <c r="B21" s="6">
        <v>1.2700000000000001E-3</v>
      </c>
      <c r="C21" s="7"/>
      <c r="D21" s="8">
        <v>4.9699999999999996E-3</v>
      </c>
      <c r="F21" s="26" t="s">
        <v>0</v>
      </c>
      <c r="G21" s="6">
        <v>2</v>
      </c>
      <c r="H21" s="7"/>
      <c r="I21" s="8">
        <v>2</v>
      </c>
      <c r="K21" s="26" t="s">
        <v>0</v>
      </c>
      <c r="L21" s="6">
        <v>0</v>
      </c>
      <c r="M21" s="7"/>
      <c r="N21" s="8">
        <v>0</v>
      </c>
      <c r="P21" s="26" t="s">
        <v>0</v>
      </c>
      <c r="Q21" s="6"/>
      <c r="R21" s="7">
        <v>7.0000000000000007E-2</v>
      </c>
      <c r="S21" s="8"/>
    </row>
    <row r="22" spans="1:19" x14ac:dyDescent="0.35">
      <c r="A22" s="26" t="s">
        <v>1</v>
      </c>
      <c r="B22" s="1"/>
      <c r="C22" s="9">
        <v>-3.4000000000000002E-4</v>
      </c>
      <c r="D22" s="10"/>
      <c r="F22" s="26" t="s">
        <v>1</v>
      </c>
      <c r="G22" s="1"/>
      <c r="H22" s="9">
        <v>2</v>
      </c>
      <c r="I22" s="10"/>
      <c r="K22" s="26" t="s">
        <v>1</v>
      </c>
      <c r="L22" s="1"/>
      <c r="M22" s="9">
        <v>0</v>
      </c>
      <c r="N22" s="10"/>
      <c r="P22" s="26" t="s">
        <v>1</v>
      </c>
      <c r="Q22" s="1"/>
      <c r="R22" s="9"/>
      <c r="S22" s="10">
        <v>0.02</v>
      </c>
    </row>
    <row r="23" spans="1:19" x14ac:dyDescent="0.35">
      <c r="A23" s="26" t="s">
        <v>2</v>
      </c>
      <c r="B23" s="3"/>
      <c r="C23" s="4"/>
      <c r="D23" s="11">
        <v>0</v>
      </c>
      <c r="F23" s="26" t="s">
        <v>2</v>
      </c>
      <c r="G23" s="3"/>
      <c r="H23" s="4"/>
      <c r="I23" s="11">
        <v>1.4</v>
      </c>
      <c r="K23" s="26" t="s">
        <v>2</v>
      </c>
      <c r="L23" s="3"/>
      <c r="M23" s="4"/>
      <c r="N23" s="11">
        <v>12</v>
      </c>
      <c r="P23" s="26" t="s">
        <v>2</v>
      </c>
      <c r="Q23" s="3"/>
      <c r="R23" s="4"/>
      <c r="S23" s="11"/>
    </row>
    <row r="24" spans="1:19" x14ac:dyDescent="0.35">
      <c r="B24" s="2"/>
      <c r="C24" s="2"/>
      <c r="D24" s="2"/>
      <c r="G24" s="2"/>
      <c r="H24" s="2"/>
      <c r="I24" s="2"/>
    </row>
    <row r="25" spans="1:19" x14ac:dyDescent="0.35">
      <c r="A25" s="75" t="s">
        <v>37</v>
      </c>
      <c r="F25" s="75" t="s">
        <v>38</v>
      </c>
      <c r="K25" s="74" t="s">
        <v>39</v>
      </c>
      <c r="P25" s="74" t="s">
        <v>40</v>
      </c>
    </row>
    <row r="26" spans="1:19" x14ac:dyDescent="0.35">
      <c r="B26" s="71" t="s">
        <v>1</v>
      </c>
      <c r="C26" s="71" t="s">
        <v>2</v>
      </c>
      <c r="D26" s="71" t="s">
        <v>3</v>
      </c>
      <c r="E26" s="71"/>
      <c r="F26" s="71"/>
      <c r="G26" s="71" t="s">
        <v>1</v>
      </c>
      <c r="H26" s="71" t="s">
        <v>2</v>
      </c>
      <c r="I26" s="71" t="s">
        <v>3</v>
      </c>
      <c r="J26" s="71"/>
      <c r="K26" s="71"/>
      <c r="L26" s="71" t="s">
        <v>1</v>
      </c>
      <c r="M26" s="71" t="s">
        <v>2</v>
      </c>
      <c r="N26" s="71" t="s">
        <v>3</v>
      </c>
      <c r="O26" s="71"/>
      <c r="P26" s="71"/>
      <c r="Q26" s="71" t="s">
        <v>1</v>
      </c>
      <c r="R26" s="71" t="s">
        <v>2</v>
      </c>
      <c r="S26" s="71" t="s">
        <v>3</v>
      </c>
    </row>
    <row r="27" spans="1:19" x14ac:dyDescent="0.35">
      <c r="A27" s="26" t="s">
        <v>0</v>
      </c>
      <c r="B27" s="6"/>
      <c r="C27" s="7"/>
      <c r="D27" s="8"/>
      <c r="F27" s="26" t="s">
        <v>0</v>
      </c>
      <c r="G27" s="6"/>
      <c r="H27" s="7"/>
      <c r="I27" s="8"/>
      <c r="K27" s="26" t="s">
        <v>0</v>
      </c>
      <c r="L27" s="6"/>
      <c r="M27" s="7">
        <v>-7.0000000000000001E-3</v>
      </c>
      <c r="N27" s="8"/>
      <c r="P27" s="26" t="s">
        <v>0</v>
      </c>
      <c r="Q27" s="6"/>
      <c r="R27" s="7">
        <v>-5.5E-2</v>
      </c>
      <c r="S27" s="8"/>
    </row>
    <row r="28" spans="1:19" x14ac:dyDescent="0.35">
      <c r="A28" s="26" t="s">
        <v>1</v>
      </c>
      <c r="B28" s="1"/>
      <c r="C28" s="9"/>
      <c r="D28" s="10">
        <v>1.4E-3</v>
      </c>
      <c r="F28" s="26" t="s">
        <v>1</v>
      </c>
      <c r="G28" s="1"/>
      <c r="H28" s="9"/>
      <c r="I28" s="10">
        <v>-1.7999999999999999E-2</v>
      </c>
      <c r="K28" s="26" t="s">
        <v>1</v>
      </c>
      <c r="L28" s="1"/>
      <c r="M28" s="9"/>
      <c r="N28" s="10"/>
      <c r="P28" s="26" t="s">
        <v>1</v>
      </c>
      <c r="Q28" s="1"/>
      <c r="R28" s="9"/>
      <c r="S28" s="10"/>
    </row>
    <row r="29" spans="1:19" x14ac:dyDescent="0.35">
      <c r="A29" s="26" t="s">
        <v>2</v>
      </c>
      <c r="B29" s="3"/>
      <c r="C29" s="4"/>
      <c r="D29" s="11"/>
      <c r="F29" s="26" t="s">
        <v>2</v>
      </c>
      <c r="G29" s="3"/>
      <c r="H29" s="4"/>
      <c r="I29" s="11"/>
      <c r="K29" s="26" t="s">
        <v>2</v>
      </c>
      <c r="L29" s="3"/>
      <c r="M29" s="4"/>
      <c r="N29" s="11"/>
      <c r="P29" s="26" t="s">
        <v>2</v>
      </c>
      <c r="Q29" s="3"/>
      <c r="R29" s="4"/>
      <c r="S29" s="11"/>
    </row>
    <row r="30" spans="1:19" x14ac:dyDescent="0.35">
      <c r="A30" s="26"/>
      <c r="B30" s="21"/>
      <c r="C30" s="63"/>
      <c r="D30" s="21"/>
    </row>
    <row r="31" spans="1:19" ht="15.5" x14ac:dyDescent="0.35">
      <c r="A31" s="79" t="s">
        <v>8</v>
      </c>
    </row>
    <row r="32" spans="1:19" x14ac:dyDescent="0.35">
      <c r="A32" s="80" t="s">
        <v>65</v>
      </c>
    </row>
    <row r="33" spans="1:9" x14ac:dyDescent="0.35">
      <c r="B33" s="72" t="s">
        <v>41</v>
      </c>
      <c r="D33" s="72" t="s">
        <v>43</v>
      </c>
    </row>
    <row r="34" spans="1:9" x14ac:dyDescent="0.35">
      <c r="A34" s="26" t="s">
        <v>0</v>
      </c>
      <c r="B34" s="18">
        <f>$B5*$C5*$C5</f>
        <v>6</v>
      </c>
      <c r="D34" s="22">
        <f>ABS($C5*$B5)</f>
        <v>6</v>
      </c>
    </row>
    <row r="35" spans="1:9" x14ac:dyDescent="0.35">
      <c r="A35" s="26" t="s">
        <v>1</v>
      </c>
      <c r="B35" s="19">
        <f>$B6*$C6*$C6</f>
        <v>6</v>
      </c>
      <c r="D35" s="24">
        <f>ABS($C6*$B6)</f>
        <v>6</v>
      </c>
    </row>
    <row r="36" spans="1:9" x14ac:dyDescent="0.35">
      <c r="A36" s="26" t="s">
        <v>2</v>
      </c>
      <c r="B36" s="19">
        <f>$B7*$C7*$C7</f>
        <v>0.04</v>
      </c>
      <c r="D36" s="24">
        <f>ABS($C7*$B7)</f>
        <v>0.02</v>
      </c>
    </row>
    <row r="37" spans="1:9" x14ac:dyDescent="0.35">
      <c r="A37" s="26" t="s">
        <v>3</v>
      </c>
      <c r="B37" s="20">
        <f>$B8*$C8*$C8</f>
        <v>0.04</v>
      </c>
      <c r="D37" s="25">
        <f>ABS($C8*$B8)</f>
        <v>0.02</v>
      </c>
    </row>
    <row r="38" spans="1:9" x14ac:dyDescent="0.35">
      <c r="A38" s="26" t="s">
        <v>4</v>
      </c>
      <c r="B38" s="9">
        <f>0.5*SUM(B34:B37)</f>
        <v>6.0399999999999991</v>
      </c>
      <c r="C38" s="26" t="s">
        <v>42</v>
      </c>
      <c r="D38" s="23">
        <f>SUM(D34:D37)</f>
        <v>12.04</v>
      </c>
    </row>
    <row r="39" spans="1:9" x14ac:dyDescent="0.35">
      <c r="A39" s="26" t="s">
        <v>5</v>
      </c>
      <c r="B39" s="64">
        <f>SQRT(B38)</f>
        <v>2.4576411454889016</v>
      </c>
      <c r="D39" s="21"/>
    </row>
    <row r="41" spans="1:9" ht="15.5" x14ac:dyDescent="0.35">
      <c r="A41" s="79" t="s">
        <v>27</v>
      </c>
    </row>
    <row r="42" spans="1:9" x14ac:dyDescent="0.35">
      <c r="A42" s="74" t="s">
        <v>28</v>
      </c>
      <c r="F42" s="74" t="s">
        <v>29</v>
      </c>
    </row>
    <row r="43" spans="1:9" x14ac:dyDescent="0.35">
      <c r="B43" s="71" t="s">
        <v>1</v>
      </c>
      <c r="C43" s="71" t="s">
        <v>2</v>
      </c>
      <c r="D43" s="71" t="s">
        <v>3</v>
      </c>
      <c r="E43" s="71"/>
      <c r="F43" s="71"/>
      <c r="G43" s="71" t="s">
        <v>1</v>
      </c>
      <c r="H43" s="71" t="s">
        <v>2</v>
      </c>
      <c r="I43" s="71" t="s">
        <v>3</v>
      </c>
    </row>
    <row r="44" spans="1:9" x14ac:dyDescent="0.35">
      <c r="A44" s="26" t="s">
        <v>0</v>
      </c>
      <c r="B44" s="6"/>
      <c r="C44" s="7">
        <v>-5.9330000000000001E-2</v>
      </c>
      <c r="D44" s="8"/>
      <c r="F44" s="26" t="s">
        <v>0</v>
      </c>
      <c r="G44" s="6"/>
      <c r="H44" s="7">
        <v>4.8609999999999999E-3</v>
      </c>
      <c r="I44" s="8"/>
    </row>
    <row r="45" spans="1:9" x14ac:dyDescent="0.35">
      <c r="A45" s="26" t="s">
        <v>1</v>
      </c>
      <c r="B45" s="1"/>
      <c r="C45" s="9"/>
      <c r="D45" s="10">
        <v>-5.9330000000000001E-2</v>
      </c>
      <c r="F45" s="26" t="s">
        <v>1</v>
      </c>
      <c r="G45" s="1"/>
      <c r="H45" s="9"/>
      <c r="I45" s="10">
        <v>4.8609999999999999E-3</v>
      </c>
    </row>
    <row r="46" spans="1:9" x14ac:dyDescent="0.35">
      <c r="A46" s="26" t="s">
        <v>2</v>
      </c>
      <c r="B46" s="3"/>
      <c r="C46" s="4"/>
      <c r="D46" s="11"/>
      <c r="F46" s="26" t="s">
        <v>2</v>
      </c>
      <c r="G46" s="3"/>
      <c r="H46" s="4"/>
      <c r="I46" s="11"/>
    </row>
    <row r="48" spans="1:9" ht="15.5" x14ac:dyDescent="0.35">
      <c r="A48" s="79" t="s">
        <v>9</v>
      </c>
    </row>
    <row r="49" spans="1:14" x14ac:dyDescent="0.35">
      <c r="A49" s="74" t="s">
        <v>14</v>
      </c>
      <c r="F49" s="74" t="s">
        <v>6</v>
      </c>
    </row>
    <row r="50" spans="1:14" x14ac:dyDescent="0.35">
      <c r="B50" s="71" t="s">
        <v>1</v>
      </c>
      <c r="C50" s="71" t="s">
        <v>2</v>
      </c>
      <c r="D50" s="71" t="s">
        <v>3</v>
      </c>
      <c r="E50" s="71"/>
      <c r="F50" s="71"/>
      <c r="G50" s="71" t="s">
        <v>1</v>
      </c>
      <c r="H50" s="71" t="s">
        <v>2</v>
      </c>
      <c r="I50" s="71" t="s">
        <v>3</v>
      </c>
      <c r="J50" s="71"/>
      <c r="K50" s="74" t="s">
        <v>7</v>
      </c>
      <c r="L50" s="71" t="s">
        <v>1</v>
      </c>
      <c r="M50" s="71" t="s">
        <v>2</v>
      </c>
      <c r="N50" s="71" t="s">
        <v>3</v>
      </c>
    </row>
    <row r="51" spans="1:14" x14ac:dyDescent="0.35">
      <c r="A51" s="26" t="s">
        <v>0</v>
      </c>
      <c r="B51" s="47">
        <f>G21*$B$39</f>
        <v>4.9152822909778031</v>
      </c>
      <c r="C51" s="48"/>
      <c r="D51" s="49">
        <f>I21*$B$39</f>
        <v>4.9152822909778031</v>
      </c>
      <c r="F51" s="26" t="s">
        <v>0</v>
      </c>
      <c r="G51" s="33">
        <f>2*(1-(1+B51)*EXP(-B51))/(B51*B51)</f>
        <v>7.9190348140600025E-2</v>
      </c>
      <c r="H51" s="7"/>
      <c r="I51" s="8">
        <f>2*(1-(1+D51)*EXP(-D51))/(D51*D51)</f>
        <v>7.9190348140600025E-2</v>
      </c>
      <c r="K51" s="26" t="s">
        <v>0</v>
      </c>
      <c r="L51" s="33">
        <f>-2*(1-(1+B51+B51*B51/2)*EXP(-B51))/(B51*B51)</f>
        <v>-7.1856700762905595E-2</v>
      </c>
      <c r="M51" s="7"/>
      <c r="N51" s="35">
        <f t="shared" ref="N51" si="0">-2*(1-(1+D51+D51*D51/2)*EXP(-D51))/(D51*D51)</f>
        <v>-7.1856700762905595E-2</v>
      </c>
    </row>
    <row r="52" spans="1:14" x14ac:dyDescent="0.35">
      <c r="A52" s="26" t="s">
        <v>1</v>
      </c>
      <c r="B52" s="50"/>
      <c r="C52" s="51">
        <f>H22*$B$39</f>
        <v>4.9152822909778031</v>
      </c>
      <c r="D52" s="52"/>
      <c r="F52" s="26" t="s">
        <v>1</v>
      </c>
      <c r="G52" s="1"/>
      <c r="H52" s="37">
        <f>2*(1-(1+C52)*EXP(-C52))/(C52*C52)</f>
        <v>7.9190348140600025E-2</v>
      </c>
      <c r="I52" s="10"/>
      <c r="K52" s="26" t="s">
        <v>1</v>
      </c>
      <c r="L52" s="1"/>
      <c r="M52" s="37">
        <f t="shared" ref="M52" si="1">-2*(1-(1+C52+C52*C52/2)*EXP(-C52))/(C52*C52)</f>
        <v>-7.1856700762905595E-2</v>
      </c>
      <c r="N52" s="10"/>
    </row>
    <row r="53" spans="1:14" x14ac:dyDescent="0.35">
      <c r="A53" s="26" t="s">
        <v>2</v>
      </c>
      <c r="B53" s="53"/>
      <c r="C53" s="54"/>
      <c r="D53" s="55">
        <f>I23*$B$39</f>
        <v>3.4406976036844621</v>
      </c>
      <c r="F53" s="26" t="s">
        <v>2</v>
      </c>
      <c r="G53" s="3"/>
      <c r="H53" s="4"/>
      <c r="I53" s="43">
        <f>2*(1-(1+D53)*EXP(-D53))/(D53*D53)</f>
        <v>0.14490298107046351</v>
      </c>
      <c r="K53" s="26" t="s">
        <v>2</v>
      </c>
      <c r="L53" s="3"/>
      <c r="M53" s="4"/>
      <c r="N53" s="43">
        <f t="shared" ref="N53" si="2">-2*(1-(1+D53+D53*D53/2)*EXP(-D53))/(D53*D53)</f>
        <v>-0.11286065638488854</v>
      </c>
    </row>
    <row r="55" spans="1:14" x14ac:dyDescent="0.35">
      <c r="A55" s="74" t="s">
        <v>15</v>
      </c>
      <c r="F55" s="74" t="s">
        <v>6</v>
      </c>
      <c r="K55" s="78" t="s">
        <v>7</v>
      </c>
    </row>
    <row r="56" spans="1:14" x14ac:dyDescent="0.35">
      <c r="B56" s="71" t="s">
        <v>1</v>
      </c>
      <c r="C56" s="71" t="s">
        <v>2</v>
      </c>
      <c r="D56" s="71" t="s">
        <v>3</v>
      </c>
      <c r="E56" s="71"/>
      <c r="F56" s="71"/>
      <c r="G56" s="71" t="s">
        <v>1</v>
      </c>
      <c r="H56" s="71" t="s">
        <v>2</v>
      </c>
      <c r="I56" s="71" t="s">
        <v>3</v>
      </c>
      <c r="J56" s="71"/>
      <c r="L56" s="71" t="s">
        <v>1</v>
      </c>
      <c r="M56" s="71" t="s">
        <v>2</v>
      </c>
      <c r="N56" s="71" t="s">
        <v>3</v>
      </c>
    </row>
    <row r="57" spans="1:14" x14ac:dyDescent="0.35">
      <c r="A57" s="26" t="s">
        <v>0</v>
      </c>
      <c r="B57" s="6">
        <f>L21*$B$39</f>
        <v>0</v>
      </c>
      <c r="C57" s="7"/>
      <c r="D57" s="8">
        <f>N21*$B$39</f>
        <v>0</v>
      </c>
      <c r="F57" s="26" t="s">
        <v>0</v>
      </c>
      <c r="G57" s="6">
        <v>0</v>
      </c>
      <c r="H57" s="7"/>
      <c r="I57" s="8">
        <v>0</v>
      </c>
      <c r="K57" s="26" t="s">
        <v>0</v>
      </c>
      <c r="L57" s="6">
        <v>0</v>
      </c>
      <c r="M57" s="7"/>
      <c r="N57" s="8">
        <v>0</v>
      </c>
    </row>
    <row r="58" spans="1:14" x14ac:dyDescent="0.35">
      <c r="A58" s="26" t="s">
        <v>1</v>
      </c>
      <c r="B58" s="1"/>
      <c r="C58" s="9">
        <f>M22*$B$39</f>
        <v>0</v>
      </c>
      <c r="D58" s="10"/>
      <c r="F58" s="26" t="s">
        <v>1</v>
      </c>
      <c r="G58" s="1"/>
      <c r="H58" s="9">
        <v>0</v>
      </c>
      <c r="I58" s="10"/>
      <c r="K58" s="26" t="s">
        <v>1</v>
      </c>
      <c r="L58" s="1"/>
      <c r="M58" s="9">
        <v>0</v>
      </c>
      <c r="N58" s="10"/>
    </row>
    <row r="59" spans="1:14" x14ac:dyDescent="0.35">
      <c r="A59" s="26" t="s">
        <v>2</v>
      </c>
      <c r="B59" s="3"/>
      <c r="C59" s="4"/>
      <c r="D59" s="56">
        <f>N23*$B$39</f>
        <v>29.491693745866819</v>
      </c>
      <c r="F59" s="26" t="s">
        <v>2</v>
      </c>
      <c r="G59" s="3"/>
      <c r="H59" s="4"/>
      <c r="I59" s="32">
        <f>2*(1-(1+D59)*EXP(-D59))/(D59*D59)</f>
        <v>2.2994849153680475E-3</v>
      </c>
      <c r="K59" s="26" t="s">
        <v>2</v>
      </c>
      <c r="L59" s="3"/>
      <c r="M59" s="4"/>
      <c r="N59" s="32">
        <f t="shared" ref="N59" si="3">-2*(1-(1+D59+D59*D59/2)*EXP(-D59))/(D59*D59)</f>
        <v>-2.2994849152124792E-3</v>
      </c>
    </row>
    <row r="61" spans="1:14" ht="15.5" x14ac:dyDescent="0.35">
      <c r="A61" s="79" t="s">
        <v>19</v>
      </c>
    </row>
    <row r="62" spans="1:14" x14ac:dyDescent="0.35">
      <c r="A62" s="75" t="s">
        <v>20</v>
      </c>
      <c r="F62" s="75" t="s">
        <v>21</v>
      </c>
      <c r="K62" s="75" t="s">
        <v>22</v>
      </c>
    </row>
    <row r="63" spans="1:14" x14ac:dyDescent="0.35">
      <c r="B63" s="71" t="s">
        <v>1</v>
      </c>
      <c r="C63" s="71" t="s">
        <v>2</v>
      </c>
      <c r="D63" s="71" t="s">
        <v>3</v>
      </c>
      <c r="E63" s="71"/>
      <c r="F63" s="71"/>
      <c r="G63" s="71" t="s">
        <v>1</v>
      </c>
      <c r="H63" s="71" t="s">
        <v>2</v>
      </c>
      <c r="I63" s="71" t="s">
        <v>3</v>
      </c>
      <c r="J63" s="71"/>
      <c r="K63" s="71"/>
      <c r="L63" s="71" t="s">
        <v>1</v>
      </c>
      <c r="M63" s="71" t="s">
        <v>2</v>
      </c>
      <c r="N63" s="71" t="s">
        <v>3</v>
      </c>
    </row>
    <row r="64" spans="1:14" x14ac:dyDescent="0.35">
      <c r="A64" s="26" t="s">
        <v>0</v>
      </c>
      <c r="B64" s="33">
        <f>B15+G15*G51+L15*G57</f>
        <v>9.7596308744655844E-2</v>
      </c>
      <c r="C64" s="34"/>
      <c r="D64" s="42">
        <f>D15+I15*I51+N15*I57</f>
        <v>0.10771885748048783</v>
      </c>
      <c r="F64" s="26" t="s">
        <v>0</v>
      </c>
      <c r="G64" s="29">
        <f>G15*L51/$B$38+L15*L57/$B$38</f>
        <v>-3.1693087886155717E-3</v>
      </c>
      <c r="H64" s="7"/>
      <c r="I64" s="8">
        <f>I15*N51/$B$38+N15*N57/$B$38</f>
        <v>-1.3241143700184426E-2</v>
      </c>
      <c r="K64" s="26" t="s">
        <v>0</v>
      </c>
      <c r="L64" s="6">
        <f>B64+$B$38*G64</f>
        <v>7.8453683661417792E-2</v>
      </c>
      <c r="M64" s="7"/>
      <c r="N64" s="35">
        <f>D64+$B$38*I64</f>
        <v>2.7742349531373903E-2</v>
      </c>
    </row>
    <row r="65" spans="1:14" x14ac:dyDescent="0.35">
      <c r="A65" s="26" t="s">
        <v>1</v>
      </c>
      <c r="B65" s="36"/>
      <c r="C65" s="41">
        <f>C16+H16*H52+M16*H58</f>
        <v>0.44371322189892848</v>
      </c>
      <c r="D65" s="38"/>
      <c r="F65" s="26" t="s">
        <v>1</v>
      </c>
      <c r="G65" s="1"/>
      <c r="H65" s="37">
        <f>H16*M52/$B$38+M16*M58/$B$38</f>
        <v>-1.9201442885981732E-2</v>
      </c>
      <c r="I65" s="10"/>
      <c r="K65" s="26" t="s">
        <v>1</v>
      </c>
      <c r="L65" s="1"/>
      <c r="M65" s="41">
        <f>C65+$B$38*H65</f>
        <v>0.32773650686759881</v>
      </c>
      <c r="N65" s="10"/>
    </row>
    <row r="66" spans="1:14" x14ac:dyDescent="0.35">
      <c r="A66" s="26" t="s">
        <v>2</v>
      </c>
      <c r="B66" s="39"/>
      <c r="C66" s="40"/>
      <c r="D66" s="43">
        <f>D17+I17*I53+N17*I59</f>
        <v>0.5385742395670301</v>
      </c>
      <c r="F66" s="26" t="s">
        <v>2</v>
      </c>
      <c r="G66" s="3"/>
      <c r="H66" s="4"/>
      <c r="I66" s="11">
        <f>I17*N53/$B$38+N17*N59/$B$38</f>
        <v>-3.9093595175211798E-2</v>
      </c>
      <c r="K66" s="26" t="s">
        <v>2</v>
      </c>
      <c r="L66" s="3"/>
      <c r="M66" s="4"/>
      <c r="N66" s="43">
        <f>D66+$B$38*I66</f>
        <v>0.30244892470875084</v>
      </c>
    </row>
    <row r="68" spans="1:14" ht="15.5" x14ac:dyDescent="0.35">
      <c r="A68" s="79" t="s">
        <v>23</v>
      </c>
    </row>
    <row r="69" spans="1:14" x14ac:dyDescent="0.35">
      <c r="A69" s="74" t="s">
        <v>25</v>
      </c>
      <c r="F69" s="75" t="s">
        <v>24</v>
      </c>
    </row>
    <row r="70" spans="1:14" x14ac:dyDescent="0.35">
      <c r="B70" s="71" t="s">
        <v>1</v>
      </c>
      <c r="C70" s="71" t="s">
        <v>2</v>
      </c>
      <c r="D70" s="71" t="s">
        <v>3</v>
      </c>
      <c r="G70" s="71" t="s">
        <v>1</v>
      </c>
      <c r="H70" s="71" t="s">
        <v>2</v>
      </c>
      <c r="I70" s="71" t="s">
        <v>3</v>
      </c>
    </row>
    <row r="71" spans="1:14" x14ac:dyDescent="0.35">
      <c r="A71" s="26" t="s">
        <v>0</v>
      </c>
      <c r="B71" s="6">
        <f>C5*C6</f>
        <v>-1</v>
      </c>
      <c r="C71" s="7">
        <f>C7*C5</f>
        <v>2</v>
      </c>
      <c r="D71" s="8">
        <f>C5*C8</f>
        <v>-2</v>
      </c>
      <c r="F71" s="26" t="s">
        <v>0</v>
      </c>
      <c r="G71" s="27">
        <f>B21/(2*SQRT(ABS(B71)))</f>
        <v>6.3500000000000004E-4</v>
      </c>
      <c r="H71" s="7"/>
      <c r="I71" s="30">
        <f>D21/(2*SQRT(ABS(D71)))</f>
        <v>1.7571603512485704E-3</v>
      </c>
    </row>
    <row r="72" spans="1:14" x14ac:dyDescent="0.35">
      <c r="A72" s="26" t="s">
        <v>1</v>
      </c>
      <c r="B72" s="1"/>
      <c r="C72" s="9">
        <f>C7*C6</f>
        <v>-2</v>
      </c>
      <c r="D72" s="10">
        <f>C6*C8</f>
        <v>2</v>
      </c>
      <c r="F72" s="26" t="s">
        <v>1</v>
      </c>
      <c r="G72" s="1"/>
      <c r="H72" s="28">
        <f>C22/(2*SQRT(ABS(C72)))</f>
        <v>-1.2020815280171308E-4</v>
      </c>
      <c r="I72" s="10"/>
    </row>
    <row r="73" spans="1:14" x14ac:dyDescent="0.35">
      <c r="A73" s="26" t="s">
        <v>2</v>
      </c>
      <c r="B73" s="3"/>
      <c r="C73" s="4"/>
      <c r="D73" s="11">
        <f>C7*C8</f>
        <v>-4</v>
      </c>
      <c r="F73" s="26" t="s">
        <v>2</v>
      </c>
      <c r="G73" s="3"/>
      <c r="H73" s="4"/>
      <c r="I73" s="11">
        <f>D23/(2*SQRT(ABS(D73)))</f>
        <v>0</v>
      </c>
    </row>
    <row r="75" spans="1:14" ht="15.5" x14ac:dyDescent="0.35">
      <c r="A75" s="79" t="s">
        <v>30</v>
      </c>
    </row>
    <row r="76" spans="1:14" x14ac:dyDescent="0.35">
      <c r="A76" s="75" t="s">
        <v>31</v>
      </c>
      <c r="F76" s="75" t="s">
        <v>32</v>
      </c>
      <c r="K76" s="74" t="s">
        <v>33</v>
      </c>
    </row>
    <row r="77" spans="1:14" x14ac:dyDescent="0.35">
      <c r="B77" s="71" t="s">
        <v>1</v>
      </c>
      <c r="C77" s="71" t="s">
        <v>2</v>
      </c>
      <c r="D77" s="71" t="s">
        <v>3</v>
      </c>
      <c r="G77" s="71" t="s">
        <v>1</v>
      </c>
      <c r="H77" s="71" t="s">
        <v>2</v>
      </c>
      <c r="I77" s="71" t="s">
        <v>3</v>
      </c>
      <c r="L77" s="71" t="s">
        <v>1</v>
      </c>
      <c r="M77" s="71" t="s">
        <v>2</v>
      </c>
      <c r="N77" s="71" t="s">
        <v>3</v>
      </c>
    </row>
    <row r="78" spans="1:14" x14ac:dyDescent="0.35">
      <c r="A78" s="26" t="s">
        <v>0</v>
      </c>
      <c r="B78" s="6"/>
      <c r="C78" s="7">
        <f>R21+C44</f>
        <v>1.0670000000000006E-2</v>
      </c>
      <c r="D78" s="8"/>
      <c r="F78" s="26" t="s">
        <v>0</v>
      </c>
      <c r="G78" s="6"/>
      <c r="H78" s="7">
        <f>H44</f>
        <v>4.8609999999999999E-3</v>
      </c>
      <c r="I78" s="8"/>
      <c r="K78" s="26" t="s">
        <v>0</v>
      </c>
      <c r="L78" s="6"/>
      <c r="M78" s="7">
        <f>C78+$B$38*H78</f>
        <v>4.003044E-2</v>
      </c>
      <c r="N78" s="8"/>
    </row>
    <row r="79" spans="1:14" x14ac:dyDescent="0.35">
      <c r="A79" s="26" t="s">
        <v>1</v>
      </c>
      <c r="B79" s="1"/>
      <c r="C79" s="9"/>
      <c r="D79" s="10">
        <f>S22+D45</f>
        <v>-3.9330000000000004E-2</v>
      </c>
      <c r="F79" s="26" t="s">
        <v>1</v>
      </c>
      <c r="G79" s="1"/>
      <c r="H79" s="9"/>
      <c r="I79" s="31">
        <f>I45</f>
        <v>4.8609999999999999E-3</v>
      </c>
      <c r="K79" s="26" t="s">
        <v>1</v>
      </c>
      <c r="L79" s="1"/>
      <c r="M79" s="9"/>
      <c r="N79" s="31">
        <f>D79+$B$38*I79</f>
        <v>-9.9695600000000092E-3</v>
      </c>
    </row>
    <row r="80" spans="1:14" x14ac:dyDescent="0.35">
      <c r="A80" s="26" t="s">
        <v>2</v>
      </c>
      <c r="B80" s="3"/>
      <c r="C80" s="4"/>
      <c r="D80" s="11"/>
      <c r="F80" s="26" t="s">
        <v>2</v>
      </c>
      <c r="G80" s="3"/>
      <c r="H80" s="4"/>
      <c r="I80" s="11"/>
      <c r="K80" s="26" t="s">
        <v>2</v>
      </c>
      <c r="L80" s="3"/>
      <c r="M80" s="4"/>
      <c r="N80" s="11"/>
    </row>
    <row r="82" spans="1:8" ht="15.5" x14ac:dyDescent="0.35">
      <c r="A82" s="79" t="s">
        <v>44</v>
      </c>
    </row>
    <row r="83" spans="1:8" x14ac:dyDescent="0.35">
      <c r="A83" s="80" t="s">
        <v>67</v>
      </c>
    </row>
    <row r="84" spans="1:8" x14ac:dyDescent="0.35">
      <c r="A84" s="73" t="s">
        <v>46</v>
      </c>
      <c r="B84" s="57">
        <f>-B11*($B$39/(1+1.2*$B$39)+(2/1.2)*LN(1+1.2*$B$39))</f>
        <v>-1.1413056280485239</v>
      </c>
    </row>
    <row r="85" spans="1:8" x14ac:dyDescent="0.35">
      <c r="A85" s="73" t="s">
        <v>47</v>
      </c>
      <c r="B85" s="58">
        <f>B5*B6*G64+B5*B8*I64+B6*B7*H65+B7*B8*I66</f>
        <v>-0.11604558094484807</v>
      </c>
    </row>
    <row r="86" spans="1:8" x14ac:dyDescent="0.35">
      <c r="A86" s="73" t="s">
        <v>48</v>
      </c>
      <c r="B86" s="58">
        <f>B5*B7*H78</f>
        <v>2.9165999999999996E-4</v>
      </c>
    </row>
    <row r="87" spans="1:8" x14ac:dyDescent="0.35">
      <c r="A87" s="73" t="s">
        <v>49</v>
      </c>
      <c r="B87" s="59">
        <f>B6*B8*I79</f>
        <v>2.9165999999999996E-4</v>
      </c>
    </row>
    <row r="88" spans="1:8" x14ac:dyDescent="0.35">
      <c r="A88" s="73" t="s">
        <v>50</v>
      </c>
      <c r="B88" s="60">
        <f>SUM(B84:B87)</f>
        <v>-1.2567678889933718</v>
      </c>
    </row>
    <row r="90" spans="1:8" ht="15.5" x14ac:dyDescent="0.35">
      <c r="A90" s="79" t="s">
        <v>51</v>
      </c>
    </row>
    <row r="91" spans="1:8" x14ac:dyDescent="0.35">
      <c r="A91" s="80" t="s">
        <v>66</v>
      </c>
    </row>
    <row r="92" spans="1:8" x14ac:dyDescent="0.35">
      <c r="B92" s="71" t="s">
        <v>0</v>
      </c>
      <c r="C92" s="71" t="s">
        <v>2</v>
      </c>
      <c r="D92" s="71" t="s">
        <v>1</v>
      </c>
      <c r="E92" s="71" t="s">
        <v>3</v>
      </c>
    </row>
    <row r="93" spans="1:8" x14ac:dyDescent="0.35">
      <c r="A93" s="73" t="s">
        <v>52</v>
      </c>
      <c r="B93" s="44">
        <f>C5*C5*B88</f>
        <v>-1.2567678889933718</v>
      </c>
      <c r="C93" s="45">
        <f>C7*C7*B88</f>
        <v>-5.0270715559734871</v>
      </c>
      <c r="D93" s="45">
        <f>C6*C6*B88</f>
        <v>-1.2567678889933718</v>
      </c>
      <c r="E93" s="42">
        <f>C8*C8*B88</f>
        <v>-5.0270715559734871</v>
      </c>
    </row>
    <row r="94" spans="1:8" x14ac:dyDescent="0.35">
      <c r="A94" s="73" t="s">
        <v>47</v>
      </c>
      <c r="B94" s="62">
        <f>B6*(2*B64+$D$38*G71)+B8*(2*D64+$D$38*I71)</f>
        <v>1.2193940441917703</v>
      </c>
      <c r="C94" s="41">
        <f>B6*(2*C65+$D$38*H72)+B8*(2*D66+$D$38*I73)</f>
        <v>5.3266463106200863</v>
      </c>
      <c r="D94" s="41">
        <f>B5*(2*B64+$D$38*G71)+B7*(2*C65+$D$38*H72)</f>
        <v>1.2258878963122515</v>
      </c>
      <c r="E94" s="46">
        <f>B5*(2*D64+$D$38*I71)+B7*(2*D66+$D$38*I73)</f>
        <v>1.4303350383313913</v>
      </c>
      <c r="H94" s="65"/>
    </row>
    <row r="95" spans="1:8" x14ac:dyDescent="0.35">
      <c r="A95" s="73" t="s">
        <v>48</v>
      </c>
      <c r="B95" s="62">
        <f>B7*(2*C78+B6*M27+B8*R27)</f>
        <v>-2.120999999999999E-4</v>
      </c>
      <c r="C95" s="41">
        <f>B5*(2*C78+B6*M27+B8*R27)</f>
        <v>-0.12725999999999993</v>
      </c>
      <c r="D95" s="41">
        <f>B8*(2*D79+B5*D28+B7*I28)</f>
        <v>-7.0439999999999999E-4</v>
      </c>
      <c r="E95" s="46">
        <f>B6*(2*D79+B5*D28+B7*I28)</f>
        <v>-0.42264000000000002</v>
      </c>
    </row>
    <row r="96" spans="1:8" x14ac:dyDescent="0.35">
      <c r="A96" s="73" t="s">
        <v>49</v>
      </c>
      <c r="B96" s="66">
        <f>B6*B8*D28</f>
        <v>8.3999999999999995E-5</v>
      </c>
      <c r="C96" s="66">
        <f>B6*B8*I28</f>
        <v>-1.0799999999999998E-3</v>
      </c>
      <c r="D96" s="41">
        <f>B5*B7*M27</f>
        <v>-4.2000000000000002E-4</v>
      </c>
      <c r="E96" s="10">
        <f>B5*B7*R27</f>
        <v>-3.3E-3</v>
      </c>
    </row>
    <row r="97" spans="1:5" x14ac:dyDescent="0.35">
      <c r="A97" s="73" t="s">
        <v>53</v>
      </c>
      <c r="B97" s="62">
        <f>ABS($C5)*($B5*$B6*$G71+$B5*$B8*$I71+$B7*$B6*$H72+$B7*$B8*$I73)</f>
        <v>2.2958217131906815E-2</v>
      </c>
      <c r="C97" s="62">
        <f>ABS($C7)*($B5*$B6*$G71+$B5*$B8*$I71+$B7*$B6*$H72+$B7*$B8*$I73)</f>
        <v>4.591643426381363E-2</v>
      </c>
      <c r="D97" s="62">
        <f>ABS($C6)*($B5*$B6*$G71+$B5*$B8*$I71+$B7*$B6*$H72+$B7*$B8*$I73)</f>
        <v>2.2958217131906815E-2</v>
      </c>
      <c r="E97" s="62">
        <f>ABS($C8)*($B5*$B6*$G71+$B5*$B8*$I71+$B7*$B6*$H72+$B7*$B8*$I73)</f>
        <v>4.591643426381363E-2</v>
      </c>
    </row>
    <row r="98" spans="1:5" x14ac:dyDescent="0.35">
      <c r="A98" s="73" t="s">
        <v>54</v>
      </c>
      <c r="B98" s="14">
        <v>0</v>
      </c>
      <c r="C98" s="61">
        <v>0</v>
      </c>
      <c r="D98" s="61">
        <v>0</v>
      </c>
      <c r="E98" s="11">
        <v>0</v>
      </c>
    </row>
    <row r="99" spans="1:5" x14ac:dyDescent="0.35">
      <c r="A99" s="73" t="s">
        <v>55</v>
      </c>
      <c r="B99" s="60">
        <f>SUM(B93:B98)</f>
        <v>-1.4543727669694625E-2</v>
      </c>
      <c r="C99" s="60">
        <f t="shared" ref="C99:E99" si="4">SUM(C93:C98)</f>
        <v>0.21715118891041291</v>
      </c>
      <c r="D99" s="60">
        <f t="shared" si="4"/>
        <v>-9.0461755492134768E-3</v>
      </c>
      <c r="E99" s="60">
        <f t="shared" si="4"/>
        <v>-3.9767600833782826</v>
      </c>
    </row>
    <row r="100" spans="1:5" x14ac:dyDescent="0.35">
      <c r="A100" s="73" t="s">
        <v>56</v>
      </c>
      <c r="B100" s="76">
        <f>EXP(B99)</f>
        <v>0.98556152148144294</v>
      </c>
      <c r="C100" s="76">
        <f t="shared" ref="C100:E100" si="5">EXP(C99)</f>
        <v>1.2425319449884442</v>
      </c>
      <c r="D100" s="76">
        <f t="shared" si="5"/>
        <v>0.99099461799562372</v>
      </c>
      <c r="E100" s="76">
        <f t="shared" si="5"/>
        <v>1.8746277429347511E-2</v>
      </c>
    </row>
    <row r="102" spans="1:5" ht="15.5" x14ac:dyDescent="0.35">
      <c r="A102" s="79" t="s">
        <v>57</v>
      </c>
    </row>
    <row r="103" spans="1:5" x14ac:dyDescent="0.35">
      <c r="A103" s="81" t="s">
        <v>69</v>
      </c>
    </row>
    <row r="104" spans="1:5" x14ac:dyDescent="0.35">
      <c r="A104" s="73" t="s">
        <v>46</v>
      </c>
      <c r="B104" s="57">
        <f>-B11*$B$39*$B$38/(1+1.2*B39)</f>
        <v>-1.473451056517465</v>
      </c>
    </row>
    <row r="105" spans="1:5" x14ac:dyDescent="0.35">
      <c r="A105" s="73" t="s">
        <v>47</v>
      </c>
      <c r="B105" s="58">
        <f>B5*B6*(L64+$D$38*G71)+B5*B8*(N64+$D$38*I71)+B7*B6*(M65+$D$38*H72)+B7*B8*(N66+$D$38*I73)</f>
        <v>3.122108522355608</v>
      </c>
    </row>
    <row r="106" spans="1:5" x14ac:dyDescent="0.35">
      <c r="A106" s="73" t="s">
        <v>48</v>
      </c>
      <c r="B106" s="58">
        <f>B5*B7*(M78+(B6*M27+B8*R27))</f>
        <v>-1.5117360000000023E-4</v>
      </c>
    </row>
    <row r="107" spans="1:5" x14ac:dyDescent="0.35">
      <c r="A107" s="73" t="s">
        <v>49</v>
      </c>
      <c r="B107" s="58">
        <f>B6*B8*(N79+(B5*D28+B7*I28))</f>
        <v>-1.0497360000000056E-4</v>
      </c>
    </row>
    <row r="108" spans="1:5" x14ac:dyDescent="0.35">
      <c r="A108" s="73" t="s">
        <v>53</v>
      </c>
      <c r="B108" s="19">
        <v>0</v>
      </c>
    </row>
    <row r="109" spans="1:5" x14ac:dyDescent="0.35">
      <c r="A109" s="73" t="s">
        <v>54</v>
      </c>
      <c r="B109" s="20">
        <v>0</v>
      </c>
    </row>
    <row r="110" spans="1:5" x14ac:dyDescent="0.35">
      <c r="B110" s="60">
        <f>SUM(B104:B109)</f>
        <v>1.648401318638143</v>
      </c>
      <c r="C110" s="73" t="s">
        <v>63</v>
      </c>
      <c r="D110" s="60">
        <f>2*B110</f>
        <v>3.296802637276286</v>
      </c>
    </row>
    <row r="112" spans="1:5" ht="15.5" x14ac:dyDescent="0.35">
      <c r="A112" s="79" t="s">
        <v>58</v>
      </c>
    </row>
    <row r="113" spans="1:2" x14ac:dyDescent="0.35">
      <c r="A113" s="80" t="s">
        <v>68</v>
      </c>
    </row>
    <row r="114" spans="1:2" x14ac:dyDescent="0.35">
      <c r="A114" s="73" t="s">
        <v>59</v>
      </c>
      <c r="B114" s="18">
        <f>B5+B6+B7+B8</f>
        <v>12.02</v>
      </c>
    </row>
    <row r="115" spans="1:2" x14ac:dyDescent="0.35">
      <c r="A115" s="73" t="s">
        <v>62</v>
      </c>
      <c r="B115" s="58">
        <f>D110+B114</f>
        <v>15.316802637276286</v>
      </c>
    </row>
    <row r="116" spans="1:2" x14ac:dyDescent="0.35">
      <c r="A116" s="73" t="s">
        <v>60</v>
      </c>
      <c r="B116" s="58">
        <f>-18.016*B115/1000</f>
        <v>-0.27594751631316955</v>
      </c>
    </row>
    <row r="117" spans="1:2" x14ac:dyDescent="0.35">
      <c r="A117" s="73" t="s">
        <v>61</v>
      </c>
      <c r="B117" s="77">
        <f>EXP(B116)</f>
        <v>0.75885275710656996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Craig Bethke</dc:creator>
  <cp:lastModifiedBy>Craig Bethke</cp:lastModifiedBy>
  <dcterms:created xsi:type="dcterms:W3CDTF">2021-06-04T16:03:42Z</dcterms:created>
  <dcterms:modified xsi:type="dcterms:W3CDTF">2021-06-10T22:21:34Z</dcterms:modified>
</cp:coreProperties>
</file>