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19155" windowHeight="7200"/>
  </bookViews>
  <sheets>
    <sheet name="LatLonHeightCalculator" sheetId="1" r:id="rId1"/>
  </sheets>
  <definedNames>
    <definedName name="Azimuth">LatLonHeightCalculator!$F$7</definedName>
    <definedName name="EarthRad">LatLonHeightCalculator!$J$7</definedName>
    <definedName name="Elevation">LatLonHeightCalculator!$G$7</definedName>
    <definedName name="FinalAlt">LatLonHeightCalculator!$D$11</definedName>
    <definedName name="FinalBearing">LatLonHeightCalculator!$F$11</definedName>
    <definedName name="FinalElev">LatLonHeightCalculator!$G$11</definedName>
    <definedName name="FinalLat">LatLonHeightCalculator!$B$11</definedName>
    <definedName name="FinalLon">LatLonHeightCalculator!$C$11</definedName>
    <definedName name="RadarAlt">LatLonHeightCalculator!$D$7</definedName>
    <definedName name="RadarLat">LatLonHeightCalculator!$B$7</definedName>
    <definedName name="RadarLon">LatLonHeightCalculator!$C$7</definedName>
    <definedName name="Range">LatLonHeightCalculator!$H$7</definedName>
    <definedName name="ScaleHeightN">LatLonHeightCalculator!$L$7</definedName>
    <definedName name="SeaLevelN">LatLonHeightCalculator!$K$7</definedName>
  </definedNames>
  <calcPr calcId="145621"/>
</workbook>
</file>

<file path=xl/calcChain.xml><?xml version="1.0" encoding="utf-8"?>
<calcChain xmlns="http://schemas.openxmlformats.org/spreadsheetml/2006/main">
  <c r="B19" i="1" l="1"/>
  <c r="C19" i="1" s="1"/>
  <c r="D19" i="1" s="1"/>
  <c r="B20" i="1"/>
  <c r="B21" i="1"/>
  <c r="B11" i="1" l="1"/>
  <c r="C11" i="1" s="1"/>
  <c r="E19" i="1" l="1"/>
  <c r="F11" i="1"/>
  <c r="G19" i="1" l="1"/>
  <c r="H19" i="1" s="1"/>
  <c r="F19" i="1"/>
  <c r="C20" i="1" l="1"/>
  <c r="D20" i="1" s="1"/>
  <c r="E20" i="1" l="1"/>
  <c r="F20" i="1" l="1"/>
  <c r="G20" i="1"/>
  <c r="H20" i="1" s="1"/>
  <c r="C21" i="1" l="1"/>
  <c r="D21" i="1" l="1"/>
  <c r="E21" i="1" s="1"/>
  <c r="F21" i="1" s="1"/>
  <c r="D11" i="1" s="1"/>
  <c r="G21" i="1" l="1"/>
  <c r="H21" i="1" s="1"/>
  <c r="G11" i="1" l="1"/>
</calcChain>
</file>

<file path=xl/sharedStrings.xml><?xml version="1.0" encoding="utf-8"?>
<sst xmlns="http://schemas.openxmlformats.org/spreadsheetml/2006/main" count="41" uniqueCount="40">
  <si>
    <t>Inputs:</t>
  </si>
  <si>
    <t>Radar latitude (deg)</t>
  </si>
  <si>
    <t>Radar longitude (deg)</t>
  </si>
  <si>
    <t>Azimuth (deg)</t>
  </si>
  <si>
    <t>Range (km)</t>
  </si>
  <si>
    <t>Outputs:</t>
  </si>
  <si>
    <t>Earth radius (km)</t>
  </si>
  <si>
    <t>Final latitude (deg)</t>
  </si>
  <si>
    <t>Final bearing (deg)</t>
  </si>
  <si>
    <t>Elevation (deg)</t>
  </si>
  <si>
    <t>Radar altitude (km MSL)</t>
  </si>
  <si>
    <t>Final elevation (deg)</t>
  </si>
  <si>
    <t>-90 (South) to 90 (North)</t>
  </si>
  <si>
    <t>-180 (West) to 180 (East)</t>
  </si>
  <si>
    <t>0 to 360</t>
  </si>
  <si>
    <t>From (A.1a)</t>
  </si>
  <si>
    <t>From (A.2)</t>
  </si>
  <si>
    <t>From (A.1b)</t>
  </si>
  <si>
    <t>Final altitude (km MSL)</t>
  </si>
  <si>
    <t>&gt; -90, and &lt; 90</t>
  </si>
  <si>
    <t>&gt; 0, and &lt; 300</t>
  </si>
  <si>
    <t>6353 to 6384</t>
  </si>
  <si>
    <t>Intermediate</t>
  </si>
  <si>
    <t>Range end</t>
  </si>
  <si>
    <t>Average dN/dh</t>
  </si>
  <si>
    <t>Temporary height</t>
  </si>
  <si>
    <t>Height final</t>
  </si>
  <si>
    <t>Elevation final</t>
  </si>
  <si>
    <t>Accumulated dn/dh</t>
  </si>
  <si>
    <t>Ke</t>
  </si>
  <si>
    <t>Latitude-Longitude-Height Calculator</t>
  </si>
  <si>
    <t>Sea-level N</t>
  </si>
  <si>
    <t>N Scale height (km)</t>
  </si>
  <si>
    <t>250 to 450</t>
  </si>
  <si>
    <t>4 to 10</t>
  </si>
  <si>
    <t>From (A.4b)</t>
  </si>
  <si>
    <t>From (A.4a); see Note 1</t>
  </si>
  <si>
    <r>
      <t>Radar Meteorology: Principles and Practice - Fr</t>
    </r>
    <r>
      <rPr>
        <sz val="11"/>
        <color theme="1"/>
        <rFont val="Calibri"/>
        <family val="2"/>
      </rPr>
      <t>édé</t>
    </r>
    <r>
      <rPr>
        <sz val="11"/>
        <color theme="1"/>
        <rFont val="Calibri"/>
        <family val="2"/>
        <scheme val="minor"/>
      </rPr>
      <t>ric Fabry</t>
    </r>
  </si>
  <si>
    <r>
      <t>Note 1: The altitude and elevation angle calculations are done in three segments (range/6 long, then range/3 long, then range/2 long) over which dN/dz is assumed constant, and is computed by default using N = 315 exp(</t>
    </r>
    <r>
      <rPr>
        <sz val="12"/>
        <color theme="1"/>
        <rFont val="Calibri"/>
        <family val="2"/>
      </rPr>
      <t>−</t>
    </r>
    <r>
      <rPr>
        <sz val="12"/>
        <color theme="1"/>
        <rFont val="Calibri"/>
        <family val="2"/>
        <scheme val="minor"/>
      </rPr>
      <t>altitude/7.35) following the ITU Recommendation ITU-R P.453-10,. Note that the ITU N profile better represents non-precipitating conditions than the ones of interest for weather radars, and that the exponential function used for N can be changed in the spreadsheet. The resulting calculations are somewhat better than the 4/3 Earth approximation, the accuracy being limited by the use of only 3 segments instead of more. By playing with the value of N at sea level and its scale height, one can evaluate the effect of dn/dz changes on the altitude of radar observations.</t>
    </r>
  </si>
  <si>
    <t>Given a radar position (latitude, longitude, altitude) and pointing direction and distance (azimuth, elevation, range), the spreadsheet computes the location (final latitude, longitude, and altitude) observed by the radar in the absence of blockage under specified propagation conditions.</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</si>
</sst>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1"/>
      <color rgb="FF333333"/>
      <name val="Calibri"/>
      <family val="2"/>
      <scheme val="minor"/>
    </font>
    <font>
      <b/>
      <sz val="12"/>
      <color theme="1"/>
      <name val="Cambria"/>
      <family val="1"/>
      <scheme val="major"/>
    </font>
    <font>
      <b/>
      <sz val="11"/>
      <color theme="1"/>
      <name val="Cambria"/>
      <family val="1"/>
      <scheme val="major"/>
    </font>
    <font>
      <b/>
      <sz val="11"/>
      <color theme="1"/>
      <name val="Calibri"/>
      <family val="2"/>
      <scheme val="minor"/>
    </font>
    <font>
      <sz val="12"/>
      <color theme="1"/>
      <name val="Calibri"/>
      <family val="2"/>
      <scheme val="minor"/>
    </font>
    <font>
      <b/>
      <sz val="11"/>
      <color rgb="FF333333"/>
      <name val="Calibri"/>
      <family val="2"/>
      <scheme val="minor"/>
    </font>
    <font>
      <sz val="11"/>
      <color theme="1"/>
      <name val="Calibri"/>
      <family val="2"/>
    </font>
    <font>
      <sz val="12"/>
      <color theme="1"/>
      <name val="Calibri"/>
      <family val="2"/>
    </font>
  </fonts>
  <fills count="4">
    <fill>
      <patternFill patternType="none"/>
    </fill>
    <fill>
      <patternFill patternType="gray125"/>
    </fill>
    <fill>
      <patternFill patternType="solid">
        <fgColor rgb="FFFFFFCC"/>
        <bgColor indexed="64"/>
      </patternFill>
    </fill>
    <fill>
      <patternFill patternType="solid">
        <fgColor rgb="FFCCECFF"/>
        <bgColor indexed="64"/>
      </patternFill>
    </fill>
  </fills>
  <borders count="1">
    <border>
      <left/>
      <right/>
      <top/>
      <bottom/>
      <diagonal/>
    </border>
  </borders>
  <cellStyleXfs count="1">
    <xf numFmtId="0" fontId="0" fillId="0" borderId="0"/>
  </cellStyleXfs>
  <cellXfs count="17">
    <xf numFmtId="0" fontId="0" fillId="0" borderId="0" xfId="0"/>
    <xf numFmtId="0" fontId="4" fillId="0" borderId="0" xfId="0" applyFont="1"/>
    <xf numFmtId="49" fontId="0" fillId="0" borderId="0" xfId="0" applyNumberFormat="1"/>
    <xf numFmtId="49" fontId="0" fillId="0" borderId="0" xfId="0" applyNumberFormat="1" applyAlignment="1">
      <alignment horizontal="right"/>
    </xf>
    <xf numFmtId="0" fontId="0" fillId="0" borderId="0" xfId="0" applyAlignment="1">
      <alignment horizontal="center"/>
    </xf>
    <xf numFmtId="0" fontId="0" fillId="0" borderId="0" xfId="0" applyFont="1" applyAlignment="1">
      <alignment horizontal="center"/>
    </xf>
    <xf numFmtId="0" fontId="1" fillId="0" borderId="0" xfId="0" applyFont="1" applyAlignment="1">
      <alignment horizontal="center"/>
    </xf>
    <xf numFmtId="0" fontId="6" fillId="2" borderId="0" xfId="0" applyFont="1" applyFill="1"/>
    <xf numFmtId="0" fontId="4" fillId="2" borderId="0" xfId="0" applyFont="1" applyFill="1"/>
    <xf numFmtId="0" fontId="4" fillId="3" borderId="0" xfId="0" applyFont="1" applyFill="1"/>
    <xf numFmtId="0" fontId="3" fillId="3" borderId="0" xfId="0" applyFont="1" applyFill="1"/>
    <xf numFmtId="0" fontId="3" fillId="2" borderId="0" xfId="0" applyFont="1" applyFill="1"/>
    <xf numFmtId="0" fontId="7" fillId="0" borderId="0" xfId="0" applyFont="1"/>
    <xf numFmtId="0" fontId="0" fillId="0" borderId="0" xfId="0" applyAlignment="1">
      <alignment horizontal="center"/>
    </xf>
    <xf numFmtId="0" fontId="2" fillId="0" borderId="0" xfId="0" applyFont="1" applyAlignment="1">
      <alignment horizontal="center"/>
    </xf>
    <xf numFmtId="0" fontId="0" fillId="0" borderId="0" xfId="0" applyAlignment="1">
      <alignment horizontal="center"/>
    </xf>
    <xf numFmtId="0" fontId="5" fillId="0" borderId="0" xfId="0" applyFont="1" applyAlignment="1">
      <alignment horizontal="left" wrapText="1"/>
    </xf>
  </cellXfs>
  <cellStyles count="1">
    <cellStyle name="Normal" xfId="0" builtinId="0"/>
  </cellStyles>
  <dxfs count="0"/>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10</xdr:col>
      <xdr:colOff>504825</xdr:colOff>
      <xdr:row>3</xdr:row>
      <xdr:rowOff>76200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601450" y="0"/>
          <a:ext cx="504825" cy="6667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tabSelected="1" workbookViewId="0">
      <selection activeCell="A4" sqref="A4:J4"/>
    </sheetView>
  </sheetViews>
  <sheetFormatPr defaultRowHeight="15" x14ac:dyDescent="0.25"/>
  <cols>
    <col min="1" max="1" width="8.7109375" customWidth="1"/>
    <col min="2" max="4" width="22.7109375" customWidth="1"/>
    <col min="5" max="5" width="2.7109375" customWidth="1"/>
    <col min="6" max="8" width="20.7109375" customWidth="1"/>
    <col min="9" max="9" width="2.7109375" customWidth="1"/>
    <col min="10" max="10" width="15.7109375" customWidth="1"/>
    <col min="11" max="11" width="10.7109375" customWidth="1"/>
    <col min="12" max="12" width="17.7109375" customWidth="1"/>
    <col min="13" max="13" width="13.140625" customWidth="1"/>
  </cols>
  <sheetData>
    <row r="1" spans="1:12" ht="15.75" x14ac:dyDescent="0.25">
      <c r="A1" s="14" t="s">
        <v>30</v>
      </c>
      <c r="B1" s="14"/>
      <c r="C1" s="14"/>
      <c r="D1" s="14"/>
      <c r="E1" s="14"/>
      <c r="F1" s="14"/>
      <c r="G1" s="14"/>
      <c r="H1" s="14"/>
      <c r="I1" s="14"/>
      <c r="J1" s="14"/>
    </row>
    <row r="2" spans="1:12" x14ac:dyDescent="0.25">
      <c r="A2" s="15" t="s">
        <v>37</v>
      </c>
      <c r="B2" s="15"/>
      <c r="C2" s="15"/>
      <c r="D2" s="15"/>
      <c r="E2" s="15"/>
      <c r="F2" s="15"/>
      <c r="G2" s="15"/>
      <c r="H2" s="15"/>
      <c r="I2" s="15"/>
      <c r="J2" s="15"/>
    </row>
    <row r="3" spans="1:12" ht="15.75" x14ac:dyDescent="0.25">
      <c r="A3" s="14"/>
      <c r="B3" s="14"/>
      <c r="C3" s="14"/>
      <c r="D3" s="14"/>
      <c r="E3" s="14"/>
      <c r="F3" s="14"/>
      <c r="G3" s="14"/>
      <c r="H3" s="14"/>
      <c r="I3" s="14"/>
      <c r="J3" s="14"/>
    </row>
    <row r="4" spans="1:12" s="1" customFormat="1" ht="31.5" customHeight="1" x14ac:dyDescent="0.25">
      <c r="A4" s="16" t="s">
        <v>39</v>
      </c>
      <c r="B4" s="16"/>
      <c r="C4" s="16"/>
      <c r="D4" s="16"/>
      <c r="E4" s="16"/>
      <c r="F4" s="16"/>
      <c r="G4" s="16"/>
      <c r="H4" s="16"/>
      <c r="I4" s="16"/>
      <c r="J4" s="16"/>
    </row>
    <row r="5" spans="1:12" x14ac:dyDescent="0.25">
      <c r="A5" s="15"/>
      <c r="B5" s="15"/>
      <c r="C5" s="15"/>
      <c r="D5" s="15"/>
      <c r="E5" s="15"/>
      <c r="F5" s="15"/>
      <c r="G5" s="15"/>
      <c r="H5" s="15"/>
      <c r="I5" s="15"/>
      <c r="J5" s="15"/>
    </row>
    <row r="6" spans="1:12" x14ac:dyDescent="0.25">
      <c r="A6" s="10" t="s">
        <v>0</v>
      </c>
      <c r="B6" s="4" t="s">
        <v>1</v>
      </c>
      <c r="C6" s="4" t="s">
        <v>2</v>
      </c>
      <c r="D6" s="4" t="s">
        <v>10</v>
      </c>
      <c r="E6" s="4"/>
      <c r="F6" s="4" t="s">
        <v>3</v>
      </c>
      <c r="G6" s="4" t="s">
        <v>9</v>
      </c>
      <c r="H6" s="4" t="s">
        <v>4</v>
      </c>
      <c r="I6" s="4"/>
      <c r="J6" s="4" t="s">
        <v>6</v>
      </c>
      <c r="K6" s="13" t="s">
        <v>31</v>
      </c>
      <c r="L6" s="13" t="s">
        <v>32</v>
      </c>
    </row>
    <row r="7" spans="1:12" x14ac:dyDescent="0.25">
      <c r="B7" s="9">
        <v>45</v>
      </c>
      <c r="C7" s="9">
        <v>-74</v>
      </c>
      <c r="D7" s="9">
        <v>0</v>
      </c>
      <c r="E7" s="1"/>
      <c r="F7" s="9">
        <v>90</v>
      </c>
      <c r="G7" s="9">
        <v>0</v>
      </c>
      <c r="H7" s="9">
        <v>100</v>
      </c>
      <c r="I7" s="1"/>
      <c r="J7" s="9">
        <v>6371</v>
      </c>
      <c r="K7" s="9">
        <v>315</v>
      </c>
      <c r="L7" s="9">
        <v>7.35</v>
      </c>
    </row>
    <row r="8" spans="1:12" s="2" customFormat="1" x14ac:dyDescent="0.25">
      <c r="B8" s="3" t="s">
        <v>12</v>
      </c>
      <c r="C8" s="3" t="s">
        <v>13</v>
      </c>
      <c r="D8" s="3"/>
      <c r="E8" s="3"/>
      <c r="F8" s="3" t="s">
        <v>14</v>
      </c>
      <c r="G8" s="3" t="s">
        <v>19</v>
      </c>
      <c r="H8" s="3" t="s">
        <v>20</v>
      </c>
      <c r="I8" s="3"/>
      <c r="J8" s="3" t="s">
        <v>21</v>
      </c>
      <c r="K8" s="3" t="s">
        <v>33</v>
      </c>
      <c r="L8" s="3" t="s">
        <v>34</v>
      </c>
    </row>
    <row r="9" spans="1:12" x14ac:dyDescent="0.25">
      <c r="G9" s="12"/>
    </row>
    <row r="10" spans="1:12" x14ac:dyDescent="0.25">
      <c r="A10" s="11" t="s">
        <v>5</v>
      </c>
      <c r="B10" s="4" t="s">
        <v>7</v>
      </c>
      <c r="C10" s="4" t="s">
        <v>2</v>
      </c>
      <c r="D10" s="4" t="s">
        <v>18</v>
      </c>
      <c r="E10" s="4"/>
      <c r="F10" s="4" t="s">
        <v>8</v>
      </c>
      <c r="G10" s="4" t="s">
        <v>11</v>
      </c>
      <c r="H10" s="4"/>
    </row>
    <row r="11" spans="1:12" x14ac:dyDescent="0.25">
      <c r="B11" s="7">
        <f>DEGREES(ASIN(SIN(RADIANS(RadarLat))*COS(Range/(EarthRad+RadarAlt)*COS(RADIANS(Elevation)))+COS(RADIANS(RadarLat))*SIN(Range/(EarthRad+RadarAlt)*COS(RADIANS(Elevation)))*COS(RADIANS(Azimuth))))</f>
        <v>44.992942648228947</v>
      </c>
      <c r="C11" s="8">
        <f>RadarLon + DEGREES(ATAN2(COS(Range/(EarthRad+RadarAlt)*COS(RADIANS(Elevation)))-SIN(RADIANS(RadarLat))*SIN(RADIANS(FinalLat)), SIN(RADIANS(Azimuth))*SIN(Range/(EarthRad+RadarAlt)*COS(RADIANS(Elevation)))*COS(RADIANS(RadarLat))))</f>
        <v>-72.728271613813774</v>
      </c>
      <c r="D11" s="8">
        <f>$F$21</f>
        <v>0.57411109679742367</v>
      </c>
      <c r="E11" s="1"/>
      <c r="F11" s="8">
        <f>180+DEGREES(ATAN2(COS(RADIANS(FinalLat))*SIN(RADIANS(RadarLat))-SIN(RADIANS(FinalLat))*COS(RADIANS(RadarLat))*COS(RADIANS(RadarLon-FinalLon)), SIN(RADIANS(RadarLon-FinalLon))*COS(RADIANS(RadarLat))))</f>
        <v>90.899210844225422</v>
      </c>
      <c r="G11" s="8">
        <f>DEGREES($G21)</f>
        <v>0.66044472437916524</v>
      </c>
    </row>
    <row r="12" spans="1:12" s="5" customFormat="1" x14ac:dyDescent="0.25">
      <c r="B12" s="6" t="s">
        <v>15</v>
      </c>
      <c r="C12" s="6" t="s">
        <v>17</v>
      </c>
      <c r="D12" s="5" t="s">
        <v>36</v>
      </c>
      <c r="F12" s="6" t="s">
        <v>16</v>
      </c>
      <c r="G12" s="5" t="s">
        <v>35</v>
      </c>
      <c r="J12"/>
    </row>
    <row r="15" spans="1:12" ht="77.25" customHeight="1" x14ac:dyDescent="0.25">
      <c r="A15" s="16" t="s">
        <v>38</v>
      </c>
      <c r="B15" s="16"/>
      <c r="C15" s="16"/>
      <c r="D15" s="16"/>
      <c r="E15" s="16"/>
      <c r="F15" s="16"/>
      <c r="G15" s="16"/>
      <c r="H15" s="16"/>
      <c r="I15" s="16"/>
      <c r="J15" s="16"/>
    </row>
    <row r="16" spans="1:12" x14ac:dyDescent="0.25">
      <c r="E16" s="12"/>
    </row>
    <row r="18" spans="1:8" hidden="1" x14ac:dyDescent="0.25">
      <c r="A18" t="s">
        <v>22</v>
      </c>
      <c r="B18" t="s">
        <v>23</v>
      </c>
      <c r="C18" t="s">
        <v>25</v>
      </c>
      <c r="D18" t="s">
        <v>24</v>
      </c>
      <c r="E18" t="s">
        <v>29</v>
      </c>
      <c r="F18" t="s">
        <v>26</v>
      </c>
      <c r="G18" t="s">
        <v>27</v>
      </c>
      <c r="H18" t="s">
        <v>28</v>
      </c>
    </row>
    <row r="19" spans="1:8" hidden="1" x14ac:dyDescent="0.25">
      <c r="B19">
        <f>Range/6</f>
        <v>16.666666666666668</v>
      </c>
      <c r="C19">
        <f>SQRT($B19^2+((1.4*EarthRad+RadarAlt)^2)+2*$B19*(1.4*EarthRad+RadarAlt)*SIN(RADIANS(Elevation)))-1.4*EarthRad</f>
        <v>1.5571537060168339E-2</v>
      </c>
      <c r="D19">
        <f>-SeaLevelN/ScaleHeightN*10^-6*EXP(-AVERAGE($C19,RadarAlt)/ScaleHeightN)</f>
        <v>-4.2811768826243426E-5</v>
      </c>
      <c r="E19">
        <f>1/(1+$D19*(EarthRad+AVERAGE(RadarAlt+$C19)))</f>
        <v>1.375051376080223</v>
      </c>
      <c r="F19">
        <f>SQRT($B19^2+(($E19*EarthRad+RadarAlt)^2+2*$B19*($E19*EarthRad+RadarAlt)*SIN(RADIANS(Elevation))))-$E19*EarthRad</f>
        <v>1.5854063030928955E-2</v>
      </c>
      <c r="G19">
        <f>RADIANS(Elevation)+ATAN($B19*COS(RADIANS(Elevation))/(($E19*EarthRad+RadarAlt)+$B19*SIN(RADIANS(Elevation))))</f>
        <v>1.9024869898798481E-3</v>
      </c>
      <c r="H19">
        <f>$D19*$B19*COS(AVERAGE(RADIANS(Elevation),$G19))</f>
        <v>-7.1352915761377833E-4</v>
      </c>
    </row>
    <row r="20" spans="1:8" hidden="1" x14ac:dyDescent="0.25">
      <c r="B20">
        <f>Range/2</f>
        <v>50</v>
      </c>
      <c r="C20">
        <f>SQRT(($B20-$B19)^2+((1.4*EarthRad+$F19)^2)+2*($B20-$B19)*(1.4*EarthRad+$F19)*SIN($G19))-1.4*EarthRad</f>
        <v>0.14155546391339158</v>
      </c>
      <c r="D20">
        <f>-SeaLevelN/ScaleHeightN*10^-6*EXP(-AVERAGE($C20,$F19)/ScaleHeightN)</f>
        <v>-4.240067129391515E-5</v>
      </c>
      <c r="E20">
        <f>1/(1+$D20*(EarthRad+AVERAGE(RadarAlt+$C20)))</f>
        <v>1.3701270519342941</v>
      </c>
      <c r="F20">
        <f>SQRT(($B20-$B19)^2+(($E20*EarthRad+$F19)^2)+2*($B20-$B19)*($E20*EarthRad+$F19)*SIN($G19))-$E20*EarthRad</f>
        <v>0.14291344922457938</v>
      </c>
      <c r="G20">
        <f>$G19+ATAN(($B20-$B19)*COS($G19)/($E20*(EarthRad+$F19)+($B20-$B19)*SIN($G19)))</f>
        <v>5.7210781805984582E-3</v>
      </c>
      <c r="H20">
        <f>$H19+$D20*($B20-$B19)*COS(AVERAGE($G19,$G20))</f>
        <v>-2.1268745996157099E-3</v>
      </c>
    </row>
    <row r="21" spans="1:8" hidden="1" x14ac:dyDescent="0.25">
      <c r="B21">
        <f>Range</f>
        <v>100</v>
      </c>
      <c r="C21">
        <f>SQRT(($B21-$B20)^2+((1.4*EarthRad+$F20)^2)+2*($B21-$B20)*(1.4*EarthRad+$F20)*SIN($G20))-1.4*EarthRad</f>
        <v>0.56909732648637146</v>
      </c>
      <c r="D21">
        <f>-SeaLevelN/ScaleHeightN*10^-6*EXP(-AVERAGE($C21,$F20)/ScaleHeightN)</f>
        <v>-4.0830780394440029E-5</v>
      </c>
      <c r="E21">
        <f>1/(1+$D21*(EarthRad+AVERAGE(RadarAlt+$C21)))</f>
        <v>1.3516365440701832</v>
      </c>
      <c r="F21">
        <f>SQRT(($B21-$B20)^2+(($E21*EarthRad+$F20)^2)+2*($B21-$B20)*($E21*EarthRad+$F20)*SIN($G20))-$E21*EarthRad</f>
        <v>0.57411109679742367</v>
      </c>
      <c r="G21">
        <f>$G20+ATAN(($B21-$B20)*COS($G20)/($E21*(EarthRad+$F20)+($B21-$B20)*SIN($G20)))</f>
        <v>1.1526934967842895E-2</v>
      </c>
      <c r="H21">
        <f>$H20+$D21*($B21-$B20)*COS(AVERAGE($G20,$G21))</f>
        <v>-4.168337701617922E-3</v>
      </c>
    </row>
  </sheetData>
  <mergeCells count="6">
    <mergeCell ref="A15:J15"/>
    <mergeCell ref="A3:J3"/>
    <mergeCell ref="A1:J1"/>
    <mergeCell ref="A2:J2"/>
    <mergeCell ref="A4:J4"/>
    <mergeCell ref="A5:J5"/>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14</vt:i4>
      </vt:variant>
    </vt:vector>
  </HeadingPairs>
  <TitlesOfParts>
    <vt:vector size="15" baseType="lpstr">
      <vt:lpstr>LatLonHeightCalculator</vt:lpstr>
      <vt:lpstr>Azimuth</vt:lpstr>
      <vt:lpstr>EarthRad</vt:lpstr>
      <vt:lpstr>Elevation</vt:lpstr>
      <vt:lpstr>FinalAlt</vt:lpstr>
      <vt:lpstr>FinalBearing</vt:lpstr>
      <vt:lpstr>FinalElev</vt:lpstr>
      <vt:lpstr>FinalLat</vt:lpstr>
      <vt:lpstr>FinalLon</vt:lpstr>
      <vt:lpstr>RadarAlt</vt:lpstr>
      <vt:lpstr>RadarLat</vt:lpstr>
      <vt:lpstr>RadarLon</vt:lpstr>
      <vt:lpstr>Range</vt:lpstr>
      <vt:lpstr>ScaleHeightN</vt:lpstr>
      <vt:lpstr>SeaLevelN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Frederic Fabry</dc:creator>
  <cp:lastModifiedBy>Frederic Fabry</cp:lastModifiedBy>
  <dcterms:created xsi:type="dcterms:W3CDTF">2014-08-10T13:46:29Z</dcterms:created>
  <dcterms:modified xsi:type="dcterms:W3CDTF">2015-01-10T12:47:35Z</dcterms:modified>
</cp:coreProperties>
</file>